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76" windowWidth="18885" windowHeight="12900" tabRatio="806" firstSheet="1" activeTab="3"/>
  </bookViews>
  <sheets>
    <sheet name="Budget Submitted" sheetId="1" state="hidden" r:id="rId1"/>
    <sheet name="Control" sheetId="2" r:id="rId2"/>
    <sheet name="Budget" sheetId="3" r:id="rId3"/>
    <sheet name="YoY Budget" sheetId="4" r:id="rId4"/>
    <sheet name="Sched A-Revenue" sheetId="5" r:id="rId5"/>
    <sheet name="Sched B-Instruction" sheetId="6" r:id="rId6"/>
    <sheet name="Sched C-Support Services" sheetId="7" r:id="rId7"/>
    <sheet name="Sched D-NonInstructional" sheetId="8" r:id="rId8"/>
    <sheet name="Detail" sheetId="9" state="hidden" r:id="rId9"/>
    <sheet name="Revenue" sheetId="10" state="hidden" r:id="rId10"/>
    <sheet name="Sheet1" sheetId="11" state="hidden" r:id="rId11"/>
  </sheets>
  <externalReferences>
    <externalReference r:id="rId14"/>
  </externalReferences>
  <definedNames>
    <definedName name="_xlnm.Print_Area" localSheetId="0">'Budget Submitted'!$A$12:$K$63</definedName>
    <definedName name="Print_Area_MI">'Budget Submitted'!$J$61</definedName>
    <definedName name="_xlnm.Print_Titles" localSheetId="2">'Budget'!$1:$8</definedName>
    <definedName name="_xlnm.Print_Titles" localSheetId="0">'Budget Submitted'!$1:$11</definedName>
    <definedName name="_xlnm.Print_Titles" localSheetId="4">'Sched A-Revenue'!$1:$2</definedName>
    <definedName name="_xlnm.Print_Titles" localSheetId="5">'Sched B-Instruction'!$1:$3</definedName>
    <definedName name="_xlnm.Print_Titles" localSheetId="6">'Sched C-Support Services'!$1:$3</definedName>
    <definedName name="_xlnm.Print_Titles" localSheetId="7">'Sched D-NonInstructional'!$1:$3</definedName>
    <definedName name="Print_Titles_MI">'Budget Submitted'!$1:$11</definedName>
  </definedNames>
  <calcPr fullCalcOnLoad="1"/>
</workbook>
</file>

<file path=xl/sharedStrings.xml><?xml version="1.0" encoding="utf-8"?>
<sst xmlns="http://schemas.openxmlformats.org/spreadsheetml/2006/main" count="1262" uniqueCount="495">
  <si>
    <t>ANNUAL OPERATION BUDGET - Form "A"</t>
  </si>
  <si>
    <t>School District:</t>
  </si>
  <si>
    <t>Enter --&gt;</t>
  </si>
  <si>
    <t>References</t>
  </si>
  <si>
    <t>GENERAL FUND BUDGET</t>
  </si>
  <si>
    <t>SPECIAL REVENUE FUNDS</t>
  </si>
  <si>
    <t>Type Record:</t>
  </si>
  <si>
    <t>ITEM</t>
  </si>
  <si>
    <t>D - Detail</t>
  </si>
  <si>
    <t>L.A.U.G.H.</t>
  </si>
  <si>
    <t>AFR</t>
  </si>
  <si>
    <t>CD - Calculated Detail</t>
  </si>
  <si>
    <t>Source/Function</t>
  </si>
  <si>
    <t>Keypunch</t>
  </si>
  <si>
    <t>S - Subtotal</t>
  </si>
  <si>
    <t>Code</t>
  </si>
  <si>
    <t>T - Total</t>
  </si>
  <si>
    <t>Revenues</t>
  </si>
  <si>
    <t>Revenues from Local Sources</t>
  </si>
  <si>
    <t>1000</t>
  </si>
  <si>
    <t>0004000</t>
  </si>
  <si>
    <t>D</t>
  </si>
  <si>
    <t>3000</t>
  </si>
  <si>
    <t>0008300</t>
  </si>
  <si>
    <t>0004300</t>
  </si>
  <si>
    <t>0004350</t>
  </si>
  <si>
    <t>Revenues from Federal Sources</t>
  </si>
  <si>
    <t>4000</t>
  </si>
  <si>
    <t>0014900</t>
  </si>
  <si>
    <t>Total Revenues</t>
  </si>
  <si>
    <t>0015000</t>
  </si>
  <si>
    <t>S</t>
  </si>
  <si>
    <t>Other Sources of Funds</t>
  </si>
  <si>
    <t>5000</t>
  </si>
  <si>
    <t>0051000</t>
  </si>
  <si>
    <t>TOTAL REVENUES AND OTHER SOURCES OF FUNDS</t>
  </si>
  <si>
    <t>none</t>
  </si>
  <si>
    <t>T</t>
  </si>
  <si>
    <t>Expenditures</t>
  </si>
  <si>
    <t>Instruction:</t>
  </si>
  <si>
    <t>Regular Programs - Elementary/Secondary</t>
  </si>
  <si>
    <t>1100</t>
  </si>
  <si>
    <t>0019000</t>
  </si>
  <si>
    <t>Special Education Programs</t>
  </si>
  <si>
    <t>1200</t>
  </si>
  <si>
    <t>0021290</t>
  </si>
  <si>
    <t>Vocational Educational Programs</t>
  </si>
  <si>
    <t>1300</t>
  </si>
  <si>
    <t>0021450</t>
  </si>
  <si>
    <t>1400</t>
  </si>
  <si>
    <t>0022000</t>
  </si>
  <si>
    <t>Special Programs</t>
  </si>
  <si>
    <t>1500</t>
  </si>
  <si>
    <t>0022490</t>
  </si>
  <si>
    <t>Adult/Continuing Education Programs</t>
  </si>
  <si>
    <t>1600</t>
  </si>
  <si>
    <t>0023600</t>
  </si>
  <si>
    <t>Total Instruction</t>
  </si>
  <si>
    <t>0024190</t>
  </si>
  <si>
    <t>Support Services Programs:</t>
  </si>
  <si>
    <t>Pupil Support Services</t>
  </si>
  <si>
    <t>2100</t>
  </si>
  <si>
    <t>0027000</t>
  </si>
  <si>
    <t>Instructional Staff Services</t>
  </si>
  <si>
    <t>2200</t>
  </si>
  <si>
    <t>0030500</t>
  </si>
  <si>
    <t>General Administration</t>
  </si>
  <si>
    <t>2300</t>
  </si>
  <si>
    <t>0035500</t>
  </si>
  <si>
    <t>School Administration</t>
  </si>
  <si>
    <t>2400</t>
  </si>
  <si>
    <t>0036500</t>
  </si>
  <si>
    <t>Business Services</t>
  </si>
  <si>
    <t>2500</t>
  </si>
  <si>
    <t>0037390</t>
  </si>
  <si>
    <t>Operation &amp; Maintenance of Plant Services</t>
  </si>
  <si>
    <t>2600</t>
  </si>
  <si>
    <t>0041400</t>
  </si>
  <si>
    <t>Student Transportation Services</t>
  </si>
  <si>
    <t>2700</t>
  </si>
  <si>
    <t>0044100</t>
  </si>
  <si>
    <t>Central Services</t>
  </si>
  <si>
    <t>2800</t>
  </si>
  <si>
    <t>0047800</t>
  </si>
  <si>
    <t>Total Support Services</t>
  </si>
  <si>
    <t>0047900</t>
  </si>
  <si>
    <t>Operation of Non-Instructional Services:</t>
  </si>
  <si>
    <t>Food Service Operations</t>
  </si>
  <si>
    <t>3100</t>
  </si>
  <si>
    <t>0048195</t>
  </si>
  <si>
    <t>Enterprise Operations</t>
  </si>
  <si>
    <t>3200</t>
  </si>
  <si>
    <t>0048395</t>
  </si>
  <si>
    <t>Community Service Operations</t>
  </si>
  <si>
    <t>3300</t>
  </si>
  <si>
    <t>0049200</t>
  </si>
  <si>
    <t>Total Operation of Non-Instructional Services</t>
  </si>
  <si>
    <t>0049250</t>
  </si>
  <si>
    <t>Facility Acquisition &amp; Construction Services</t>
  </si>
  <si>
    <t>0049960</t>
  </si>
  <si>
    <t>Debt Services</t>
  </si>
  <si>
    <t>5100</t>
  </si>
  <si>
    <t>0050850</t>
  </si>
  <si>
    <t>Total Expenditures</t>
  </si>
  <si>
    <t>0050900</t>
  </si>
  <si>
    <t>Other Uses of Funds</t>
  </si>
  <si>
    <t>5200</t>
  </si>
  <si>
    <t>0051180</t>
  </si>
  <si>
    <t>TOTAL EXPENDITURES AND OTHER USES OF FUNDS</t>
  </si>
  <si>
    <t>Excess (Deficiency) of Revenues and Other Sources</t>
  </si>
  <si>
    <t xml:space="preserve">Over Expenditures and Other Uses  </t>
  </si>
  <si>
    <t>auto-calculated</t>
  </si>
  <si>
    <t>0051190</t>
  </si>
  <si>
    <t>CD</t>
  </si>
  <si>
    <t>Residual Equity Transfer In</t>
  </si>
  <si>
    <t>0051192</t>
  </si>
  <si>
    <t>Residual Equity Transfer Out**</t>
  </si>
  <si>
    <t>0051193</t>
  </si>
  <si>
    <t>Prior Year Adjustment</t>
  </si>
  <si>
    <t>0051194</t>
  </si>
  <si>
    <t>Balances at Beginning of Year</t>
  </si>
  <si>
    <t>0051195</t>
  </si>
  <si>
    <t xml:space="preserve">Balances at End of Year       </t>
  </si>
  <si>
    <t>0051196</t>
  </si>
  <si>
    <t xml:space="preserve">    </t>
  </si>
  <si>
    <t>** Enter a negative number for Transfers Out</t>
  </si>
  <si>
    <t>Revenues from State Sources (Other than MFP)</t>
  </si>
  <si>
    <t>Includes Special Fund Federal,</t>
  </si>
  <si>
    <t>Revenues from MFP (Exclude School Lunch)</t>
  </si>
  <si>
    <t>Revenues from MFP (School Lunch Fund)</t>
  </si>
  <si>
    <t>Other Instructional Programs - Elementary/Secondary</t>
  </si>
  <si>
    <t>Federal NCLB and Other Special Funds</t>
  </si>
  <si>
    <t>2004-2005</t>
  </si>
  <si>
    <t>FISCAL YEAR 2009-2010</t>
  </si>
  <si>
    <t>Actual
2008-2009</t>
  </si>
  <si>
    <t>Budgeted
2009-2010</t>
  </si>
  <si>
    <t xml:space="preserve">Pierre A. Capdau Charter School </t>
  </si>
  <si>
    <t xml:space="preserve">Sub Code </t>
  </si>
  <si>
    <t xml:space="preserve">Food Service </t>
  </si>
  <si>
    <t xml:space="preserve">Income From Meals </t>
  </si>
  <si>
    <t xml:space="preserve">Income From Extra Meals </t>
  </si>
  <si>
    <t xml:space="preserve">SFS </t>
  </si>
  <si>
    <t>IDEA Part B</t>
  </si>
  <si>
    <t>IDEA PreK</t>
  </si>
  <si>
    <t xml:space="preserve">SPED </t>
  </si>
  <si>
    <t xml:space="preserve">Titel I </t>
  </si>
  <si>
    <t>Title IV, Part A</t>
  </si>
  <si>
    <t xml:space="preserve">Title II </t>
  </si>
  <si>
    <t xml:space="preserve">Transfer of IDC </t>
  </si>
  <si>
    <t xml:space="preserve">Local Per Pupil MFP Share </t>
  </si>
  <si>
    <t xml:space="preserve">State Per Pupil MFP Share </t>
  </si>
  <si>
    <t xml:space="preserve">Total MFP </t>
  </si>
  <si>
    <t xml:space="preserve">Capdau 10/1 Enrollment </t>
  </si>
  <si>
    <t xml:space="preserve">Title I </t>
  </si>
  <si>
    <t xml:space="preserve">Title IV </t>
  </si>
  <si>
    <t xml:space="preserve">IDEA Part B </t>
  </si>
  <si>
    <t xml:space="preserve">ARRA - Title I </t>
  </si>
  <si>
    <t xml:space="preserve">ARRA - IDEA </t>
  </si>
  <si>
    <t xml:space="preserve">FIE </t>
  </si>
  <si>
    <t xml:space="preserve">Capital One </t>
  </si>
  <si>
    <t xml:space="preserve">BOR </t>
  </si>
  <si>
    <t xml:space="preserve">Rollover </t>
  </si>
  <si>
    <t xml:space="preserve">Total </t>
  </si>
  <si>
    <t xml:space="preserve">NSLP </t>
  </si>
  <si>
    <t xml:space="preserve">School Lunch Collected </t>
  </si>
  <si>
    <t xml:space="preserve">Expenses </t>
  </si>
  <si>
    <t xml:space="preserve">Regular Education Programs </t>
  </si>
  <si>
    <t xml:space="preserve">Salary </t>
  </si>
  <si>
    <t xml:space="preserve">Benefts @ 28% </t>
  </si>
  <si>
    <t xml:space="preserve">MFP </t>
  </si>
  <si>
    <t xml:space="preserve">Special Rev </t>
  </si>
  <si>
    <t xml:space="preserve">Kindergarten </t>
  </si>
  <si>
    <t xml:space="preserve">1st Grade </t>
  </si>
  <si>
    <t xml:space="preserve">2nd Grade </t>
  </si>
  <si>
    <t xml:space="preserve">3rd Grade </t>
  </si>
  <si>
    <t xml:space="preserve">4th Grade </t>
  </si>
  <si>
    <t xml:space="preserve">K-4 Academic Assistant </t>
  </si>
  <si>
    <t xml:space="preserve">5-8 Academic Assistant </t>
  </si>
  <si>
    <t xml:space="preserve">Extended Day Payments to 1100 Teachers </t>
  </si>
  <si>
    <t xml:space="preserve">Liability Insurance </t>
  </si>
  <si>
    <t xml:space="preserve">West Staff </t>
  </si>
  <si>
    <t xml:space="preserve">Special Education Programs </t>
  </si>
  <si>
    <t xml:space="preserve">K-4 Special Education Teacher </t>
  </si>
  <si>
    <t xml:space="preserve">RTI Development Coordinator </t>
  </si>
  <si>
    <t xml:space="preserve">Suns Center </t>
  </si>
  <si>
    <t xml:space="preserve">Hubbard and Tennyson </t>
  </si>
  <si>
    <t xml:space="preserve">Extended Day Payments to Code 1200 Teachers </t>
  </si>
  <si>
    <t xml:space="preserve">Core Instructional Supplies and Materials to include textbooks, printing paper and core resources </t>
  </si>
  <si>
    <t xml:space="preserve">Supplemental instructional supplies and materials to remediate sutdents </t>
  </si>
  <si>
    <t xml:space="preserve">Other Instructional Programs </t>
  </si>
  <si>
    <t xml:space="preserve">Music - Teacher </t>
  </si>
  <si>
    <t xml:space="preserve">1/2 Cap One </t>
  </si>
  <si>
    <t xml:space="preserve">Art </t>
  </si>
  <si>
    <t xml:space="preserve">Physical Education </t>
  </si>
  <si>
    <t xml:space="preserve">Special Programs </t>
  </si>
  <si>
    <t xml:space="preserve">Saturday School Remediation </t>
  </si>
  <si>
    <t xml:space="preserve">LEAP Remediation </t>
  </si>
  <si>
    <t>LEAP Rem</t>
  </si>
  <si>
    <t xml:space="preserve">Support Services </t>
  </si>
  <si>
    <t xml:space="preserve">Non-Instructional Assistant </t>
  </si>
  <si>
    <t xml:space="preserve">Secretary </t>
  </si>
  <si>
    <t xml:space="preserve">K-4 Academic Intervention Counselor </t>
  </si>
  <si>
    <t xml:space="preserve">5-8 Academic Intervention Counselor </t>
  </si>
  <si>
    <t xml:space="preserve">1/2 of one nurse </t>
  </si>
  <si>
    <t xml:space="preserve">PBS Coordinator </t>
  </si>
  <si>
    <t xml:space="preserve">Dorothy Martin </t>
  </si>
  <si>
    <t xml:space="preserve">After Schools Coordinator </t>
  </si>
  <si>
    <t xml:space="preserve">Ariel Encalade Mitchell </t>
  </si>
  <si>
    <t xml:space="preserve">Social Worker </t>
  </si>
  <si>
    <t xml:space="preserve">Tonja Jackson </t>
  </si>
  <si>
    <t xml:space="preserve">Instructional Staff Services </t>
  </si>
  <si>
    <t xml:space="preserve">Instructional Resource Coordinator K-4 </t>
  </si>
  <si>
    <t>Instructional Resource Coordinator 5-8</t>
  </si>
  <si>
    <t xml:space="preserve">1/3 of one Literacy Coach </t>
  </si>
  <si>
    <t xml:space="preserve">Karen Gauthier </t>
  </si>
  <si>
    <t xml:space="preserve">1/4 of one gifted and talented coach </t>
  </si>
  <si>
    <t>Heather Katz-Mumphrey</t>
  </si>
  <si>
    <t xml:space="preserve">Education Diagnostician </t>
  </si>
  <si>
    <t xml:space="preserve">Janice Adams </t>
  </si>
  <si>
    <t xml:space="preserve">Technology Specialist </t>
  </si>
  <si>
    <t xml:space="preserve">Gilbert Bennett </t>
  </si>
  <si>
    <t xml:space="preserve">General Administration </t>
  </si>
  <si>
    <t xml:space="preserve">Chief Operations Officer </t>
  </si>
  <si>
    <t xml:space="preserve">Vera B. Triplett </t>
  </si>
  <si>
    <t xml:space="preserve">Chief Executive Officer </t>
  </si>
  <si>
    <t xml:space="preserve">Andre Perry </t>
  </si>
  <si>
    <t xml:space="preserve">HR Coordinator </t>
  </si>
  <si>
    <t xml:space="preserve">Georgi Bienvenu </t>
  </si>
  <si>
    <t xml:space="preserve">Data Management Coordinator </t>
  </si>
  <si>
    <t xml:space="preserve">Lisa Hawkins </t>
  </si>
  <si>
    <t xml:space="preserve">Director of State and Fed. Programs </t>
  </si>
  <si>
    <t xml:space="preserve">Stephen Osborn </t>
  </si>
  <si>
    <t xml:space="preserve">Assistant to COO </t>
  </si>
  <si>
    <t xml:space="preserve">Susan Wetwiski </t>
  </si>
  <si>
    <t xml:space="preserve">School Site Administration </t>
  </si>
  <si>
    <t xml:space="preserve">Principal </t>
  </si>
  <si>
    <t xml:space="preserve">Business Services </t>
  </si>
  <si>
    <t xml:space="preserve">Chief Financial Officer </t>
  </si>
  <si>
    <t xml:space="preserve">Fitzpatrick Nedd </t>
  </si>
  <si>
    <t xml:space="preserve">Assistant to CFO </t>
  </si>
  <si>
    <t xml:space="preserve">Keela Bell </t>
  </si>
  <si>
    <t xml:space="preserve">Sodexo </t>
  </si>
  <si>
    <t xml:space="preserve">Based off of building sqft </t>
  </si>
  <si>
    <t xml:space="preserve">Johnson Controls </t>
  </si>
  <si>
    <t xml:space="preserve">Projected based off of current expenses </t>
  </si>
  <si>
    <t xml:space="preserve">Sonitrol </t>
  </si>
  <si>
    <t xml:space="preserve">Latter and Blum </t>
  </si>
  <si>
    <t xml:space="preserve">Entergy </t>
  </si>
  <si>
    <t>AT&amp;T</t>
  </si>
  <si>
    <t xml:space="preserve">Cox  </t>
  </si>
  <si>
    <t xml:space="preserve">Water and Sewage - City of NO </t>
  </si>
  <si>
    <t xml:space="preserve">Allied Waste </t>
  </si>
  <si>
    <t xml:space="preserve">Lawn Care </t>
  </si>
  <si>
    <t xml:space="preserve">Xerox </t>
  </si>
  <si>
    <t xml:space="preserve">Pest Control </t>
  </si>
  <si>
    <t xml:space="preserve">Security </t>
  </si>
  <si>
    <t xml:space="preserve">Misc Maint. </t>
  </si>
  <si>
    <t xml:space="preserve">Wells Transportation </t>
  </si>
  <si>
    <t xml:space="preserve">$95 per day for 11 routes for 175 days </t>
  </si>
  <si>
    <t xml:space="preserve">UNO Foundation </t>
  </si>
  <si>
    <t xml:space="preserve">RSD 2% Oversight </t>
  </si>
  <si>
    <t>UNO 8%</t>
  </si>
  <si>
    <t xml:space="preserve">Annual Audit </t>
  </si>
  <si>
    <t xml:space="preserve">1/2 of one cafeteria manager </t>
  </si>
  <si>
    <t xml:space="preserve">JoAnn Glapion </t>
  </si>
  <si>
    <t xml:space="preserve">Aramark Expenses </t>
  </si>
  <si>
    <t xml:space="preserve">Jeanette Browder </t>
  </si>
  <si>
    <t xml:space="preserve">Monique Carter </t>
  </si>
  <si>
    <t xml:space="preserve">Trina Homes </t>
  </si>
  <si>
    <t xml:space="preserve">Vacant </t>
  </si>
  <si>
    <t>Ashleigh Pelafigue</t>
  </si>
  <si>
    <t xml:space="preserve">Chrystal Trosclair </t>
  </si>
  <si>
    <t xml:space="preserve">Candace Jones </t>
  </si>
  <si>
    <t xml:space="preserve">Edmond Jarrell </t>
  </si>
  <si>
    <t xml:space="preserve">Ashley Adams </t>
  </si>
  <si>
    <t xml:space="preserve">Deborah Williams </t>
  </si>
  <si>
    <t xml:space="preserve">Carrie Newman </t>
  </si>
  <si>
    <t xml:space="preserve">5th/6th ELA </t>
  </si>
  <si>
    <t xml:space="preserve">Dawn McKendall </t>
  </si>
  <si>
    <t xml:space="preserve">5th/6th Math </t>
  </si>
  <si>
    <t xml:space="preserve">Tynica Jackson </t>
  </si>
  <si>
    <t xml:space="preserve">5th/6th Science </t>
  </si>
  <si>
    <t xml:space="preserve">Veronica Ayala </t>
  </si>
  <si>
    <t xml:space="preserve">5th/6th Social Studies </t>
  </si>
  <si>
    <t xml:space="preserve">Alex DeLarge </t>
  </si>
  <si>
    <t xml:space="preserve">5th/6th Reading </t>
  </si>
  <si>
    <t>Deborah Singleton-Anderson</t>
  </si>
  <si>
    <t xml:space="preserve">7th-8th ELA </t>
  </si>
  <si>
    <t xml:space="preserve">Kelly Rauser </t>
  </si>
  <si>
    <t xml:space="preserve">7th-8th Math </t>
  </si>
  <si>
    <t xml:space="preserve">Shawn Antee </t>
  </si>
  <si>
    <t xml:space="preserve">7th/8th Science </t>
  </si>
  <si>
    <t xml:space="preserve">Rueben Baker </t>
  </si>
  <si>
    <t xml:space="preserve">7th/8th Social Studies </t>
  </si>
  <si>
    <t xml:space="preserve">Katherine Howe </t>
  </si>
  <si>
    <t xml:space="preserve">7th/8th Reading </t>
  </si>
  <si>
    <t xml:space="preserve">David Ray </t>
  </si>
  <si>
    <t xml:space="preserve">Professional Development Expenses to include consultants, conferences and travel </t>
  </si>
  <si>
    <t xml:space="preserve">Clarice Cross </t>
  </si>
  <si>
    <t xml:space="preserve">LeAnne Madden </t>
  </si>
  <si>
    <t xml:space="preserve">Chantrece Mitchell </t>
  </si>
  <si>
    <t xml:space="preserve">5-8 Special Education Teacher </t>
  </si>
  <si>
    <t xml:space="preserve">Kenneth Vogt </t>
  </si>
  <si>
    <t xml:space="preserve">Gregory Patterson </t>
  </si>
  <si>
    <t xml:space="preserve">Music - Academic Assistant </t>
  </si>
  <si>
    <t xml:space="preserve">Jyron Gautreaux </t>
  </si>
  <si>
    <t xml:space="preserve">Dance </t>
  </si>
  <si>
    <t xml:space="preserve">Koya Craddock </t>
  </si>
  <si>
    <t xml:space="preserve">Elijah Chong </t>
  </si>
  <si>
    <t xml:space="preserve">Roy Conway </t>
  </si>
  <si>
    <t xml:space="preserve">Extended Day Payments to Code 1400 teachers </t>
  </si>
  <si>
    <t xml:space="preserve">Mark Thorton </t>
  </si>
  <si>
    <t xml:space="preserve">Reshelle Marino </t>
  </si>
  <si>
    <t xml:space="preserve">Terenice Colar </t>
  </si>
  <si>
    <t>1/2 title I 1/2 FIE</t>
  </si>
  <si>
    <t xml:space="preserve">Lisa Louding </t>
  </si>
  <si>
    <t xml:space="preserve">Parent Liaison </t>
  </si>
  <si>
    <t xml:space="preserve">Wendy Hammond </t>
  </si>
  <si>
    <t xml:space="preserve">Alayna Mayberry </t>
  </si>
  <si>
    <t xml:space="preserve">Jeanann Washington </t>
  </si>
  <si>
    <t xml:space="preserve">Mary Chimento </t>
  </si>
  <si>
    <t xml:space="preserve">Assistant Principal </t>
  </si>
  <si>
    <t xml:space="preserve">Heidi Sargent </t>
  </si>
  <si>
    <t xml:space="preserve">J'Vann Martin </t>
  </si>
  <si>
    <t xml:space="preserve">1850 per day for 175 days </t>
  </si>
  <si>
    <t xml:space="preserve">$1505 in projected reimbursement for 175 days </t>
  </si>
  <si>
    <t>Will be receiving 90% erate discount</t>
  </si>
  <si>
    <t>5 YEAR BUDGET</t>
  </si>
  <si>
    <t>SCHEDULE A: REVENUE ASSUMPTIONS</t>
  </si>
  <si>
    <t>07-08</t>
  </si>
  <si>
    <t>Enrollment</t>
  </si>
  <si>
    <t>K</t>
  </si>
  <si>
    <t># of School Days</t>
  </si>
  <si>
    <t>COLA Increase for Salaries</t>
  </si>
  <si>
    <t>COLA Increase for Expenses</t>
  </si>
  <si>
    <t>Government COLA Increase for Revenue</t>
  </si>
  <si>
    <t>Title I</t>
  </si>
  <si>
    <t>Title II</t>
  </si>
  <si>
    <t>Local Per Pupil MFP Share</t>
  </si>
  <si>
    <t>State Per Pupil MFP Share</t>
  </si>
  <si>
    <t>NSLP Rate</t>
  </si>
  <si>
    <t>Title IV</t>
  </si>
  <si>
    <t>Title I Rollover</t>
  </si>
  <si>
    <t xml:space="preserve">Title II Rollover </t>
  </si>
  <si>
    <t>Title IV Rollover</t>
  </si>
  <si>
    <t>IDEA Part B Rollover</t>
  </si>
  <si>
    <t>Title I - ARRA</t>
  </si>
  <si>
    <t>IDEA Part B - ARRA</t>
  </si>
  <si>
    <t>FIE</t>
  </si>
  <si>
    <t>Capital One</t>
  </si>
  <si>
    <t>BOR</t>
  </si>
  <si>
    <t>Total Government Revenues</t>
  </si>
  <si>
    <t>Restricted</t>
  </si>
  <si>
    <t>Unrestricted</t>
  </si>
  <si>
    <t>Project</t>
  </si>
  <si>
    <t>Teachers</t>
  </si>
  <si>
    <t>Other Instructional Staff</t>
  </si>
  <si>
    <t>Total</t>
  </si>
  <si>
    <t>Other Instructional Expenses</t>
  </si>
  <si>
    <t>Other</t>
  </si>
  <si>
    <t>Enter in Data</t>
  </si>
  <si>
    <t>Supporting Schedule Below</t>
  </si>
  <si>
    <t>Subtotal</t>
  </si>
  <si>
    <t>Formulas</t>
  </si>
  <si>
    <t xml:space="preserve">Vocational Education Programs </t>
  </si>
  <si>
    <t>Other Instructional Programs</t>
  </si>
  <si>
    <t>See Schedule Below</t>
  </si>
  <si>
    <t>Supporting Schedules</t>
  </si>
  <si>
    <t>Liability Insurance</t>
  </si>
  <si>
    <t>General Liability</t>
  </si>
  <si>
    <t>Errors &amp; Ommissions</t>
  </si>
  <si>
    <t>Directors &amp; Officers</t>
  </si>
  <si>
    <t>TOTAL</t>
  </si>
  <si>
    <t>Conference Fee</t>
  </si>
  <si>
    <t>Rood &amp; Food</t>
  </si>
  <si>
    <t>Transportation</t>
  </si>
  <si>
    <t>Conference A</t>
  </si>
  <si>
    <t>Conference B</t>
  </si>
  <si>
    <t>Conference C</t>
  </si>
  <si>
    <t>Conference D</t>
  </si>
  <si>
    <t>Conference E</t>
  </si>
  <si>
    <t>Conference F</t>
  </si>
  <si>
    <t>Conference G</t>
  </si>
  <si>
    <t>Vendor Name</t>
  </si>
  <si>
    <t>Professional Development Total</t>
  </si>
  <si>
    <t>Travel and Conference</t>
  </si>
  <si>
    <t>Textbooks</t>
  </si>
  <si>
    <t>Grade</t>
  </si>
  <si>
    <t>Printing Paper, Core Resources, Etc.</t>
  </si>
  <si>
    <t>Item</t>
  </si>
  <si>
    <t>Supplemental Instructional Materials</t>
  </si>
  <si>
    <t>Department Name</t>
  </si>
  <si>
    <t>Core Instructional Supplies Total</t>
  </si>
  <si>
    <t>Supplemental Instructional Supplies Tot.</t>
  </si>
  <si>
    <t>Staff</t>
  </si>
  <si>
    <t>School Site Administration</t>
  </si>
  <si>
    <t>Administrators</t>
  </si>
  <si>
    <t>Operation &amp; Maintenance</t>
  </si>
  <si>
    <t>Describe Services to be Rendered</t>
  </si>
  <si>
    <t>Operations &amp; Maintenence Total</t>
  </si>
  <si>
    <t>Student Transportation Total</t>
  </si>
  <si>
    <t>Central Services Total</t>
  </si>
  <si>
    <t>Trash</t>
  </si>
  <si>
    <t>Lawn</t>
  </si>
  <si>
    <t>Other Grant Funds</t>
  </si>
  <si>
    <t>Professional Development Consultants</t>
  </si>
  <si>
    <t>SCHEDULE B: INSTRUCTION</t>
  </si>
  <si>
    <t>SCHEDULE D: OPERATION OF NON-INSTRUCTIONAL SERVICES</t>
  </si>
  <si>
    <t>SCHEDULE C: SUPPORT SERVICES PROGRAMS</t>
  </si>
  <si>
    <t>Budget Forecast
2013-2014</t>
  </si>
  <si>
    <t>Comments</t>
  </si>
  <si>
    <t>Schedule A: Revenue</t>
  </si>
  <si>
    <t>Schedule B: Instruction</t>
  </si>
  <si>
    <t>Schedule C: Support Services</t>
  </si>
  <si>
    <t>Schedule D: NonInstructional</t>
  </si>
  <si>
    <t>SCHOOL NAME:</t>
  </si>
  <si>
    <t>Cash Flow from Operating Activites</t>
  </si>
  <si>
    <t>Net Income</t>
  </si>
  <si>
    <t>Change in Accounts Receivable</t>
  </si>
  <si>
    <t>Change in Due from Others</t>
  </si>
  <si>
    <t>Change in Accounts Payable</t>
  </si>
  <si>
    <t>Change in Due to Others</t>
  </si>
  <si>
    <t>Change in Payroll Liabilities</t>
  </si>
  <si>
    <t>Prepaid Expenditures</t>
  </si>
  <si>
    <t>Depreciation Expense</t>
  </si>
  <si>
    <t>Cash Flow from Investing Activities</t>
  </si>
  <si>
    <t>Capital Expenditures</t>
  </si>
  <si>
    <t>Cash Flow from Financing Activities</t>
  </si>
  <si>
    <t>Debt</t>
  </si>
  <si>
    <t>Balances at End of Year</t>
  </si>
  <si>
    <t xml:space="preserve">Math </t>
  </si>
  <si>
    <t>SS</t>
  </si>
  <si>
    <t xml:space="preserve">ELA </t>
  </si>
  <si>
    <t xml:space="preserve">French </t>
  </si>
  <si>
    <t xml:space="preserve">Science </t>
  </si>
  <si>
    <t xml:space="preserve">AA </t>
  </si>
  <si>
    <t>HS Couns.</t>
  </si>
  <si>
    <t xml:space="preserve">College Couns. </t>
  </si>
  <si>
    <t>General Funds     Budgeted
2011-2012</t>
  </si>
  <si>
    <t>Budget Forecast
2014-2015</t>
  </si>
  <si>
    <t>Budget Forecast
2015-2016</t>
  </si>
  <si>
    <t>2011-12</t>
  </si>
  <si>
    <t>2014-2015</t>
  </si>
  <si>
    <t>2015-16</t>
  </si>
  <si>
    <t xml:space="preserve">Core Instruction </t>
  </si>
  <si>
    <t xml:space="preserve">Social Studies </t>
  </si>
  <si>
    <t xml:space="preserve">Substitute Teachers </t>
  </si>
  <si>
    <t xml:space="preserve">Extended Day Payments </t>
  </si>
  <si>
    <t>;</t>
  </si>
  <si>
    <t xml:space="preserve">Title I, Part A </t>
  </si>
  <si>
    <t xml:space="preserve">Title II, Part A </t>
  </si>
  <si>
    <t xml:space="preserve">Special Education Consultants </t>
  </si>
  <si>
    <t xml:space="preserve">Special Education Teacher </t>
  </si>
  <si>
    <t xml:space="preserve">IDEA, Part B </t>
  </si>
  <si>
    <t>Title I, Part A</t>
  </si>
  <si>
    <t xml:space="preserve">PE Teacher </t>
  </si>
  <si>
    <t xml:space="preserve">Art Teacher </t>
  </si>
  <si>
    <t xml:space="preserve">GEE Remediation </t>
  </si>
  <si>
    <t>2012-13</t>
  </si>
  <si>
    <t>2013-14</t>
  </si>
  <si>
    <t xml:space="preserve">Data Manager </t>
  </si>
  <si>
    <t xml:space="preserve">Nurse </t>
  </si>
  <si>
    <t xml:space="preserve">Staff </t>
  </si>
  <si>
    <t>j</t>
  </si>
  <si>
    <t xml:space="preserve">Dean of Students </t>
  </si>
  <si>
    <t xml:space="preserve">Telephone/Internet </t>
  </si>
  <si>
    <t xml:space="preserve">SDT </t>
  </si>
  <si>
    <t>YoY Budget Analysis</t>
  </si>
  <si>
    <t xml:space="preserve">General Funds Variance </t>
  </si>
  <si>
    <t xml:space="preserve">Restrict. Funds Variance </t>
  </si>
  <si>
    <t xml:space="preserve">University of New Orleans - Professional Development Services </t>
  </si>
  <si>
    <t xml:space="preserve">Teacher Pay Raises </t>
  </si>
  <si>
    <t xml:space="preserve">Benefits budgeted at 25% </t>
  </si>
  <si>
    <t xml:space="preserve">Librarian </t>
  </si>
  <si>
    <t xml:space="preserve">RSD Property Insurance </t>
  </si>
  <si>
    <t xml:space="preserve">Core Instuction </t>
  </si>
  <si>
    <t xml:space="preserve">Robotics </t>
  </si>
  <si>
    <t xml:space="preserve">Vocal Music </t>
  </si>
  <si>
    <t xml:space="preserve">Band </t>
  </si>
  <si>
    <t xml:space="preserve">SPED AA </t>
  </si>
  <si>
    <t xml:space="preserve">Materials and supplies for the front office </t>
  </si>
  <si>
    <t xml:space="preserve">Charter Network 8% of Revenues </t>
  </si>
  <si>
    <t xml:space="preserve">Technology Coordinator </t>
  </si>
  <si>
    <t xml:space="preserve">After School and Special Programs </t>
  </si>
  <si>
    <t xml:space="preserve">Teacher Merit Pay </t>
  </si>
  <si>
    <t xml:space="preserve">Landscaping </t>
  </si>
  <si>
    <t xml:space="preserve">School  promotional and decoration expenses. </t>
  </si>
  <si>
    <t>Wells Transportation</t>
  </si>
  <si>
    <t xml:space="preserve">Lake Area New Tech Early College High School </t>
  </si>
  <si>
    <t>General Funds     Budgeted
2012-2013</t>
  </si>
  <si>
    <t>Restrict. Funds Budgeted
2012-2013</t>
  </si>
  <si>
    <t>Total Budgeted
2012-2013</t>
  </si>
  <si>
    <t>Budget Forecast
2016-2017</t>
  </si>
  <si>
    <t>2012-2013            % of Budget</t>
  </si>
  <si>
    <t>Restrict. Funds Budgeted
2011-12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</si>
</sst>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??_);_(@_)"/>
    <numFmt numFmtId="165" formatCode="_(&quot;$&quot;* #,##0_);_(&quot;$&quot;* \(#,##0\);_(&quot;$&quot;* &quot;-&quot;??_);_(@_)"/>
    <numFmt numFmtId="166" formatCode="#,##0.00;\-#,##0.00"/>
    <numFmt numFmtId="167" formatCode="0.0"/>
    <numFmt numFmtId="168" formatCode="0.000"/>
    <numFmt numFmtId="169" formatCode="0.0000"/>
    <numFmt numFmtId="170" formatCode="_(&quot;$&quot;* #,##0.0_);_(&quot;$&quot;* \(#,##0.0\);_(&quot;$&quot;* &quot;-&quot;??_);_(@_)"/>
    <numFmt numFmtId="171" formatCode="#,##0.0;\-#,##0.0"/>
    <numFmt numFmtId="172" formatCode="#,##0;\-#,##0"/>
    <numFmt numFmtId="173" formatCode="0.00000"/>
    <numFmt numFmtId="174" formatCode="0.0000000"/>
    <numFmt numFmtId="175" formatCode="0.000000"/>
    <numFmt numFmtId="176" formatCode="_(* #,##0_);_(* \(#,##0\);_(* &quot;-&quot;??_);_(@_)"/>
    <numFmt numFmtId="177" formatCode="_(* #,##0.0_);_(* \(#,##0.0\);_(* &quot;-&quot;??_);_(@_)"/>
    <numFmt numFmtId="178" formatCode="mmmm\-yy"/>
    <numFmt numFmtId="179" formatCode="#,##0.0"/>
    <numFmt numFmtId="180" formatCode="0.0%"/>
    <numFmt numFmtId="181" formatCode="[$-409]dddd\,\ mmmm\ dd\,\ yyyy"/>
    <numFmt numFmtId="182" formatCode="[$-409]mmmm\-yy;@"/>
    <numFmt numFmtId="183" formatCode="[$-409]mmm\-yy;@"/>
    <numFmt numFmtId="184" formatCode="_(* #,##0.0000_);_(* \(#,##0.0000\);_(* &quot;-&quot;????_);_(@_)"/>
    <numFmt numFmtId="185" formatCode="_(* #,##0.0_);_(* \(#,##0.0\);_(* &quot;-&quot;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_(* #,##0.000_);_(* \(#,##0.000\);_(* &quot;-&quot;???_);_(@_)"/>
    <numFmt numFmtId="191" formatCode="0.000%"/>
    <numFmt numFmtId="192" formatCode="0.0000%"/>
    <numFmt numFmtId="193" formatCode="0.00000%"/>
    <numFmt numFmtId="194" formatCode="&quot;$&quot;#,##0"/>
    <numFmt numFmtId="195" formatCode="&quot;$&quot;#,##0&quot;P&quot;"/>
    <numFmt numFmtId="196" formatCode="&quot;$&quot;#,##0.0"/>
    <numFmt numFmtId="197" formatCode="_(&quot;$&quot;* #,##0.000_);_(&quot;$&quot;* \(#,##0.000\);_(&quot;$&quot;* &quot;-&quot;???_);_(@_)"/>
    <numFmt numFmtId="198" formatCode="_(&quot;$&quot;* #,##0.000_);_(&quot;$&quot;* \(#,##0.000\);_(&quot;$&quot;* &quot;-&quot;??_);_(@_)"/>
    <numFmt numFmtId="199" formatCode="_(&quot;$&quot;* #,##0.0000_);_(&quot;$&quot;* \(#,##0.0000\);_(&quot;$&quot;* &quot;-&quot;??_);_(@_)"/>
    <numFmt numFmtId="200" formatCode="&quot;$&quot;#,##0.0_);[Red]\(&quot;$&quot;#,##0.0\)"/>
  </numFmts>
  <fonts count="77">
    <font>
      <sz val="12"/>
      <name val="Arial MT"/>
      <family val="0"/>
    </font>
    <font>
      <sz val="10"/>
      <name val="Arial"/>
      <family val="0"/>
    </font>
    <font>
      <sz val="12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u val="single"/>
      <sz val="14"/>
      <name val="Arial"/>
      <family val="2"/>
    </font>
    <font>
      <sz val="10"/>
      <color indexed="12"/>
      <name val="Arial"/>
      <family val="2"/>
    </font>
    <font>
      <b/>
      <u val="single"/>
      <sz val="12"/>
      <name val="Arial"/>
      <family val="2"/>
    </font>
    <font>
      <sz val="14"/>
      <name val="Arial"/>
      <family val="2"/>
    </font>
    <font>
      <b/>
      <sz val="12"/>
      <name val="Arial MT"/>
      <family val="0"/>
    </font>
    <font>
      <sz val="10"/>
      <name val="Garamond"/>
      <family val="1"/>
    </font>
    <font>
      <b/>
      <sz val="10"/>
      <name val="Garamond"/>
      <family val="1"/>
    </font>
    <font>
      <sz val="8"/>
      <name val="Arial MT"/>
      <family val="0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u val="single"/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8"/>
      <color indexed="8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u val="single"/>
      <sz val="8"/>
      <name val="Arial"/>
      <family val="2"/>
    </font>
    <font>
      <b/>
      <u val="singleAccounting"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4"/>
      <name val="Garamond"/>
      <family val="1"/>
    </font>
    <font>
      <sz val="14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b/>
      <u val="single"/>
      <sz val="10"/>
      <name val="Garamond"/>
      <family val="1"/>
    </font>
    <font>
      <b/>
      <u val="single"/>
      <sz val="12"/>
      <name val="Garamond"/>
      <family val="1"/>
    </font>
    <font>
      <b/>
      <i/>
      <sz val="10"/>
      <name val="Garamond"/>
      <family val="1"/>
    </font>
    <font>
      <u val="single"/>
      <sz val="10"/>
      <name val="Garamond"/>
      <family val="1"/>
    </font>
    <font>
      <u val="single"/>
      <sz val="12"/>
      <name val="Garamond"/>
      <family val="1"/>
    </font>
    <font>
      <b/>
      <sz val="12"/>
      <color indexed="9"/>
      <name val="Arial"/>
      <family val="2"/>
    </font>
    <font>
      <i/>
      <sz val="1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1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58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2" fillId="0" borderId="13" xfId="0" applyFont="1" applyBorder="1" applyAlignment="1">
      <alignment horizontal="centerContinuous"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8" fillId="0" borderId="0" xfId="0" applyFont="1" applyAlignment="1">
      <alignment horizontal="centerContinuous"/>
    </xf>
    <xf numFmtId="0" fontId="2" fillId="0" borderId="16" xfId="0" applyFont="1" applyBorder="1" applyAlignment="1">
      <alignment horizontal="centerContinuous"/>
    </xf>
    <xf numFmtId="0" fontId="8" fillId="0" borderId="15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/>
    </xf>
    <xf numFmtId="7" fontId="8" fillId="0" borderId="16" xfId="0" applyNumberFormat="1" applyFont="1" applyBorder="1" applyAlignment="1" applyProtection="1">
      <alignment horizontal="centerContinuous"/>
      <protection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0" xfId="0" applyFont="1" applyAlignment="1">
      <alignment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0" fillId="0" borderId="15" xfId="0" applyFont="1" applyBorder="1" applyAlignment="1">
      <alignment horizontal="centerContinuous"/>
    </xf>
    <xf numFmtId="0" fontId="2" fillId="0" borderId="19" xfId="0" applyFont="1" applyBorder="1" applyAlignment="1">
      <alignment/>
    </xf>
    <xf numFmtId="37" fontId="2" fillId="0" borderId="16" xfId="0" applyNumberFormat="1" applyFont="1" applyBorder="1" applyAlignment="1" applyProtection="1">
      <alignment/>
      <protection/>
    </xf>
    <xf numFmtId="0" fontId="8" fillId="0" borderId="0" xfId="0" applyFont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8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2" xfId="0" applyFont="1" applyBorder="1" applyAlignment="1">
      <alignment/>
    </xf>
    <xf numFmtId="0" fontId="12" fillId="0" borderId="0" xfId="0" applyFont="1" applyAlignment="1">
      <alignment/>
    </xf>
    <xf numFmtId="0" fontId="8" fillId="0" borderId="16" xfId="0" applyFont="1" applyBorder="1" applyAlignment="1">
      <alignment/>
    </xf>
    <xf numFmtId="0" fontId="8" fillId="0" borderId="26" xfId="0" applyFont="1" applyBorder="1" applyAlignment="1">
      <alignment/>
    </xf>
    <xf numFmtId="0" fontId="13" fillId="0" borderId="0" xfId="0" applyFont="1" applyAlignment="1">
      <alignment horizontal="centerContinuous"/>
    </xf>
    <xf numFmtId="0" fontId="13" fillId="0" borderId="16" xfId="0" applyFont="1" applyBorder="1" applyAlignment="1">
      <alignment horizontal="centerContinuous"/>
    </xf>
    <xf numFmtId="0" fontId="4" fillId="0" borderId="22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8" fillId="33" borderId="26" xfId="0" applyFont="1" applyFill="1" applyBorder="1" applyAlignment="1">
      <alignment horizontal="center"/>
    </xf>
    <xf numFmtId="0" fontId="8" fillId="33" borderId="28" xfId="0" applyFont="1" applyFill="1" applyBorder="1" applyAlignment="1">
      <alignment/>
    </xf>
    <xf numFmtId="0" fontId="2" fillId="33" borderId="28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0" fontId="2" fillId="33" borderId="30" xfId="0" applyFont="1" applyFill="1" applyBorder="1" applyAlignment="1">
      <alignment/>
    </xf>
    <xf numFmtId="0" fontId="8" fillId="33" borderId="29" xfId="0" applyFont="1" applyFill="1" applyBorder="1" applyAlignment="1">
      <alignment horizontal="center"/>
    </xf>
    <xf numFmtId="0" fontId="2" fillId="33" borderId="31" xfId="0" applyFont="1" applyFill="1" applyBorder="1" applyAlignment="1">
      <alignment/>
    </xf>
    <xf numFmtId="0" fontId="8" fillId="33" borderId="23" xfId="0" applyFont="1" applyFill="1" applyBorder="1" applyAlignment="1">
      <alignment horizontal="center"/>
    </xf>
    <xf numFmtId="6" fontId="2" fillId="0" borderId="16" xfId="0" applyNumberFormat="1" applyFont="1" applyBorder="1" applyAlignment="1">
      <alignment/>
    </xf>
    <xf numFmtId="6" fontId="8" fillId="33" borderId="26" xfId="0" applyNumberFormat="1" applyFont="1" applyFill="1" applyBorder="1" applyAlignment="1" applyProtection="1">
      <alignment/>
      <protection/>
    </xf>
    <xf numFmtId="6" fontId="8" fillId="33" borderId="29" xfId="0" applyNumberFormat="1" applyFont="1" applyFill="1" applyBorder="1" applyAlignment="1" applyProtection="1">
      <alignment/>
      <protection/>
    </xf>
    <xf numFmtId="6" fontId="8" fillId="33" borderId="23" xfId="0" applyNumberFormat="1" applyFont="1" applyFill="1" applyBorder="1" applyAlignment="1" applyProtection="1">
      <alignment/>
      <protection/>
    </xf>
    <xf numFmtId="6" fontId="2" fillId="0" borderId="13" xfId="0" applyNumberFormat="1" applyFont="1" applyBorder="1" applyAlignment="1">
      <alignment/>
    </xf>
    <xf numFmtId="6" fontId="11" fillId="0" borderId="23" xfId="0" applyNumberFormat="1" applyFont="1" applyBorder="1" applyAlignment="1" applyProtection="1">
      <alignment/>
      <protection locked="0"/>
    </xf>
    <xf numFmtId="6" fontId="2" fillId="0" borderId="16" xfId="0" applyNumberFormat="1" applyFont="1" applyBorder="1" applyAlignment="1" applyProtection="1">
      <alignment/>
      <protection/>
    </xf>
    <xf numFmtId="6" fontId="11" fillId="0" borderId="16" xfId="0" applyNumberFormat="1" applyFont="1" applyBorder="1" applyAlignment="1" applyProtection="1">
      <alignment/>
      <protection locked="0"/>
    </xf>
    <xf numFmtId="6" fontId="2" fillId="0" borderId="23" xfId="0" applyNumberFormat="1" applyFont="1" applyBorder="1" applyAlignment="1" applyProtection="1">
      <alignment/>
      <protection/>
    </xf>
    <xf numFmtId="6" fontId="1" fillId="0" borderId="16" xfId="0" applyNumberFormat="1" applyFont="1" applyBorder="1" applyAlignment="1" applyProtection="1">
      <alignment/>
      <protection/>
    </xf>
    <xf numFmtId="6" fontId="11" fillId="0" borderId="16" xfId="0" applyNumberFormat="1" applyFont="1" applyBorder="1" applyAlignment="1" applyProtection="1">
      <alignment/>
      <protection/>
    </xf>
    <xf numFmtId="6" fontId="11" fillId="0" borderId="23" xfId="0" applyNumberFormat="1" applyFont="1" applyBorder="1" applyAlignment="1" applyProtection="1">
      <alignment/>
      <protection/>
    </xf>
    <xf numFmtId="0" fontId="7" fillId="0" borderId="3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3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3" xfId="0" applyFont="1" applyBorder="1" applyAlignment="1">
      <alignment/>
    </xf>
    <xf numFmtId="0" fontId="4" fillId="0" borderId="33" xfId="0" applyFont="1" applyBorder="1" applyAlignment="1">
      <alignment horizontal="center"/>
    </xf>
    <xf numFmtId="0" fontId="2" fillId="0" borderId="23" xfId="0" applyFont="1" applyBorder="1" applyAlignment="1">
      <alignment horizontal="center" shrinkToFit="1"/>
    </xf>
    <xf numFmtId="0" fontId="14" fillId="0" borderId="0" xfId="0" applyFont="1" applyAlignment="1">
      <alignment/>
    </xf>
    <xf numFmtId="44" fontId="0" fillId="0" borderId="0" xfId="44" applyFont="1" applyAlignment="1">
      <alignment/>
    </xf>
    <xf numFmtId="44" fontId="0" fillId="0" borderId="0" xfId="0" applyNumberFormat="1" applyAlignment="1">
      <alignment/>
    </xf>
    <xf numFmtId="44" fontId="14" fillId="0" borderId="0" xfId="44" applyFont="1" applyAlignment="1">
      <alignment/>
    </xf>
    <xf numFmtId="44" fontId="11" fillId="0" borderId="16" xfId="0" applyNumberFormat="1" applyFont="1" applyBorder="1" applyAlignment="1" applyProtection="1">
      <alignment/>
      <protection locked="0"/>
    </xf>
    <xf numFmtId="0" fontId="15" fillId="0" borderId="0" xfId="0" applyFont="1" applyAlignment="1">
      <alignment/>
    </xf>
    <xf numFmtId="0" fontId="15" fillId="0" borderId="0" xfId="0" applyFont="1" applyAlignment="1">
      <alignment wrapText="1"/>
    </xf>
    <xf numFmtId="44" fontId="15" fillId="0" borderId="0" xfId="44" applyFont="1" applyAlignment="1">
      <alignment/>
    </xf>
    <xf numFmtId="44" fontId="15" fillId="0" borderId="0" xfId="0" applyNumberFormat="1" applyFont="1" applyAlignment="1">
      <alignment/>
    </xf>
    <xf numFmtId="44" fontId="11" fillId="0" borderId="23" xfId="0" applyNumberFormat="1" applyFont="1" applyBorder="1" applyAlignment="1" applyProtection="1">
      <alignment/>
      <protection locked="0"/>
    </xf>
    <xf numFmtId="0" fontId="15" fillId="0" borderId="34" xfId="0" applyFont="1" applyBorder="1" applyAlignment="1">
      <alignment/>
    </xf>
    <xf numFmtId="0" fontId="15" fillId="0" borderId="35" xfId="0" applyFont="1" applyBorder="1" applyAlignment="1">
      <alignment/>
    </xf>
    <xf numFmtId="0" fontId="15" fillId="0" borderId="35" xfId="0" applyFont="1" applyBorder="1" applyAlignment="1">
      <alignment wrapText="1"/>
    </xf>
    <xf numFmtId="0" fontId="15" fillId="0" borderId="36" xfId="0" applyFont="1" applyBorder="1" applyAlignment="1">
      <alignment/>
    </xf>
    <xf numFmtId="0" fontId="15" fillId="0" borderId="37" xfId="0" applyFont="1" applyBorder="1" applyAlignment="1">
      <alignment/>
    </xf>
    <xf numFmtId="0" fontId="15" fillId="0" borderId="38" xfId="0" applyFont="1" applyBorder="1" applyAlignment="1">
      <alignment wrapText="1"/>
    </xf>
    <xf numFmtId="44" fontId="15" fillId="0" borderId="38" xfId="44" applyFont="1" applyBorder="1" applyAlignment="1">
      <alignment/>
    </xf>
    <xf numFmtId="44" fontId="15" fillId="0" borderId="38" xfId="0" applyNumberFormat="1" applyFont="1" applyBorder="1" applyAlignment="1">
      <alignment/>
    </xf>
    <xf numFmtId="0" fontId="15" fillId="0" borderId="38" xfId="0" applyFont="1" applyBorder="1" applyAlignment="1">
      <alignment/>
    </xf>
    <xf numFmtId="0" fontId="15" fillId="0" borderId="39" xfId="0" applyFont="1" applyBorder="1" applyAlignment="1">
      <alignment/>
    </xf>
    <xf numFmtId="0" fontId="15" fillId="34" borderId="38" xfId="0" applyFont="1" applyFill="1" applyBorder="1" applyAlignment="1">
      <alignment wrapText="1"/>
    </xf>
    <xf numFmtId="44" fontId="15" fillId="34" borderId="38" xfId="44" applyFont="1" applyFill="1" applyBorder="1" applyAlignment="1">
      <alignment/>
    </xf>
    <xf numFmtId="44" fontId="15" fillId="0" borderId="39" xfId="0" applyNumberFormat="1" applyFont="1" applyBorder="1" applyAlignment="1">
      <alignment/>
    </xf>
    <xf numFmtId="0" fontId="15" fillId="0" borderId="40" xfId="0" applyFont="1" applyBorder="1" applyAlignment="1">
      <alignment/>
    </xf>
    <xf numFmtId="0" fontId="15" fillId="0" borderId="41" xfId="0" applyFont="1" applyBorder="1" applyAlignment="1">
      <alignment/>
    </xf>
    <xf numFmtId="0" fontId="15" fillId="0" borderId="41" xfId="0" applyFont="1" applyBorder="1" applyAlignment="1">
      <alignment wrapText="1"/>
    </xf>
    <xf numFmtId="44" fontId="15" fillId="0" borderId="41" xfId="0" applyNumberFormat="1" applyFont="1" applyBorder="1" applyAlignment="1">
      <alignment/>
    </xf>
    <xf numFmtId="44" fontId="15" fillId="0" borderId="42" xfId="0" applyNumberFormat="1" applyFont="1" applyBorder="1" applyAlignment="1">
      <alignment/>
    </xf>
    <xf numFmtId="0" fontId="16" fillId="0" borderId="0" xfId="0" applyFont="1" applyAlignment="1">
      <alignment/>
    </xf>
    <xf numFmtId="0" fontId="15" fillId="0" borderId="43" xfId="0" applyFont="1" applyBorder="1" applyAlignment="1">
      <alignment/>
    </xf>
    <xf numFmtId="0" fontId="15" fillId="0" borderId="44" xfId="0" applyFont="1" applyBorder="1" applyAlignment="1">
      <alignment/>
    </xf>
    <xf numFmtId="0" fontId="15" fillId="0" borderId="44" xfId="0" applyFont="1" applyBorder="1" applyAlignment="1">
      <alignment wrapText="1"/>
    </xf>
    <xf numFmtId="0" fontId="15" fillId="0" borderId="45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wrapText="1"/>
    </xf>
    <xf numFmtId="0" fontId="15" fillId="34" borderId="41" xfId="0" applyFont="1" applyFill="1" applyBorder="1" applyAlignment="1">
      <alignment wrapText="1"/>
    </xf>
    <xf numFmtId="44" fontId="15" fillId="34" borderId="41" xfId="44" applyFont="1" applyFill="1" applyBorder="1" applyAlignment="1">
      <alignment/>
    </xf>
    <xf numFmtId="44" fontId="15" fillId="0" borderId="39" xfId="44" applyFont="1" applyBorder="1" applyAlignment="1">
      <alignment/>
    </xf>
    <xf numFmtId="44" fontId="15" fillId="0" borderId="42" xfId="44" applyFont="1" applyBorder="1" applyAlignment="1">
      <alignment/>
    </xf>
    <xf numFmtId="44" fontId="15" fillId="0" borderId="0" xfId="0" applyNumberFormat="1" applyFont="1" applyBorder="1" applyAlignment="1">
      <alignment/>
    </xf>
    <xf numFmtId="8" fontId="15" fillId="0" borderId="38" xfId="0" applyNumberFormat="1" applyFont="1" applyBorder="1" applyAlignment="1">
      <alignment/>
    </xf>
    <xf numFmtId="0" fontId="15" fillId="34" borderId="37" xfId="0" applyFont="1" applyFill="1" applyBorder="1" applyAlignment="1">
      <alignment/>
    </xf>
    <xf numFmtId="0" fontId="16" fillId="35" borderId="34" xfId="0" applyFont="1" applyFill="1" applyBorder="1" applyAlignment="1">
      <alignment/>
    </xf>
    <xf numFmtId="0" fontId="16" fillId="35" borderId="35" xfId="0" applyFont="1" applyFill="1" applyBorder="1" applyAlignment="1">
      <alignment/>
    </xf>
    <xf numFmtId="0" fontId="16" fillId="35" borderId="35" xfId="0" applyFont="1" applyFill="1" applyBorder="1" applyAlignment="1">
      <alignment wrapText="1"/>
    </xf>
    <xf numFmtId="0" fontId="16" fillId="35" borderId="36" xfId="0" applyFont="1" applyFill="1" applyBorder="1" applyAlignment="1">
      <alignment/>
    </xf>
    <xf numFmtId="0" fontId="15" fillId="35" borderId="40" xfId="0" applyFont="1" applyFill="1" applyBorder="1" applyAlignment="1">
      <alignment/>
    </xf>
    <xf numFmtId="0" fontId="15" fillId="35" borderId="41" xfId="0" applyFont="1" applyFill="1" applyBorder="1" applyAlignment="1">
      <alignment/>
    </xf>
    <xf numFmtId="0" fontId="15" fillId="35" borderId="41" xfId="0" applyFont="1" applyFill="1" applyBorder="1" applyAlignment="1">
      <alignment wrapText="1"/>
    </xf>
    <xf numFmtId="44" fontId="15" fillId="35" borderId="41" xfId="0" applyNumberFormat="1" applyFont="1" applyFill="1" applyBorder="1" applyAlignment="1">
      <alignment/>
    </xf>
    <xf numFmtId="44" fontId="15" fillId="35" borderId="42" xfId="0" applyNumberFormat="1" applyFont="1" applyFill="1" applyBorder="1" applyAlignment="1">
      <alignment/>
    </xf>
    <xf numFmtId="0" fontId="16" fillId="35" borderId="40" xfId="0" applyFont="1" applyFill="1" applyBorder="1" applyAlignment="1">
      <alignment/>
    </xf>
    <xf numFmtId="0" fontId="16" fillId="35" borderId="41" xfId="0" applyFont="1" applyFill="1" applyBorder="1" applyAlignment="1">
      <alignment/>
    </xf>
    <xf numFmtId="0" fontId="16" fillId="35" borderId="41" xfId="0" applyFont="1" applyFill="1" applyBorder="1" applyAlignment="1">
      <alignment wrapText="1"/>
    </xf>
    <xf numFmtId="44" fontId="16" fillId="35" borderId="41" xfId="0" applyNumberFormat="1" applyFont="1" applyFill="1" applyBorder="1" applyAlignment="1">
      <alignment/>
    </xf>
    <xf numFmtId="44" fontId="16" fillId="35" borderId="42" xfId="0" applyNumberFormat="1" applyFont="1" applyFill="1" applyBorder="1" applyAlignment="1">
      <alignment/>
    </xf>
    <xf numFmtId="0" fontId="16" fillId="35" borderId="46" xfId="0" applyFont="1" applyFill="1" applyBorder="1" applyAlignment="1">
      <alignment/>
    </xf>
    <xf numFmtId="0" fontId="16" fillId="35" borderId="47" xfId="0" applyFont="1" applyFill="1" applyBorder="1" applyAlignment="1">
      <alignment/>
    </xf>
    <xf numFmtId="0" fontId="16" fillId="35" borderId="47" xfId="0" applyFont="1" applyFill="1" applyBorder="1" applyAlignment="1">
      <alignment wrapText="1"/>
    </xf>
    <xf numFmtId="44" fontId="16" fillId="35" borderId="47" xfId="0" applyNumberFormat="1" applyFont="1" applyFill="1" applyBorder="1" applyAlignment="1">
      <alignment/>
    </xf>
    <xf numFmtId="44" fontId="16" fillId="35" borderId="48" xfId="44" applyFont="1" applyFill="1" applyBorder="1" applyAlignment="1">
      <alignment/>
    </xf>
    <xf numFmtId="0" fontId="16" fillId="0" borderId="49" xfId="0" applyFont="1" applyBorder="1" applyAlignment="1">
      <alignment/>
    </xf>
    <xf numFmtId="0" fontId="16" fillId="0" borderId="50" xfId="0" applyFont="1" applyBorder="1" applyAlignment="1">
      <alignment/>
    </xf>
    <xf numFmtId="0" fontId="16" fillId="0" borderId="50" xfId="0" applyFont="1" applyBorder="1" applyAlignment="1">
      <alignment wrapText="1"/>
    </xf>
    <xf numFmtId="0" fontId="16" fillId="0" borderId="51" xfId="0" applyFont="1" applyBorder="1" applyAlignment="1">
      <alignment/>
    </xf>
    <xf numFmtId="0" fontId="16" fillId="0" borderId="52" xfId="0" applyFont="1" applyBorder="1" applyAlignment="1">
      <alignment/>
    </xf>
    <xf numFmtId="0" fontId="16" fillId="34" borderId="53" xfId="0" applyFont="1" applyFill="1" applyBorder="1" applyAlignment="1">
      <alignment wrapText="1"/>
    </xf>
    <xf numFmtId="44" fontId="16" fillId="34" borderId="53" xfId="44" applyFont="1" applyFill="1" applyBorder="1" applyAlignment="1">
      <alignment/>
    </xf>
    <xf numFmtId="44" fontId="16" fillId="0" borderId="53" xfId="0" applyNumberFormat="1" applyFont="1" applyBorder="1" applyAlignment="1">
      <alignment/>
    </xf>
    <xf numFmtId="0" fontId="16" fillId="0" borderId="53" xfId="0" applyFont="1" applyBorder="1" applyAlignment="1">
      <alignment/>
    </xf>
    <xf numFmtId="44" fontId="16" fillId="0" borderId="54" xfId="0" applyNumberFormat="1" applyFont="1" applyBorder="1" applyAlignment="1">
      <alignment/>
    </xf>
    <xf numFmtId="44" fontId="15" fillId="0" borderId="35" xfId="44" applyFont="1" applyBorder="1" applyAlignment="1">
      <alignment/>
    </xf>
    <xf numFmtId="44" fontId="15" fillId="0" borderId="35" xfId="0" applyNumberFormat="1" applyFont="1" applyBorder="1" applyAlignment="1">
      <alignment/>
    </xf>
    <xf numFmtId="44" fontId="15" fillId="0" borderId="36" xfId="0" applyNumberFormat="1" applyFont="1" applyBorder="1" applyAlignment="1">
      <alignment/>
    </xf>
    <xf numFmtId="0" fontId="15" fillId="0" borderId="52" xfId="0" applyFont="1" applyBorder="1" applyAlignment="1">
      <alignment/>
    </xf>
    <xf numFmtId="0" fontId="15" fillId="0" borderId="53" xfId="0" applyFont="1" applyBorder="1" applyAlignment="1">
      <alignment/>
    </xf>
    <xf numFmtId="0" fontId="15" fillId="0" borderId="53" xfId="0" applyFont="1" applyBorder="1" applyAlignment="1">
      <alignment wrapText="1"/>
    </xf>
    <xf numFmtId="44" fontId="15" fillId="0" borderId="53" xfId="44" applyFont="1" applyBorder="1" applyAlignment="1">
      <alignment/>
    </xf>
    <xf numFmtId="44" fontId="15" fillId="0" borderId="36" xfId="44" applyFont="1" applyBorder="1" applyAlignment="1">
      <alignment/>
    </xf>
    <xf numFmtId="0" fontId="16" fillId="35" borderId="49" xfId="0" applyFont="1" applyFill="1" applyBorder="1" applyAlignment="1">
      <alignment/>
    </xf>
    <xf numFmtId="0" fontId="16" fillId="35" borderId="50" xfId="0" applyFont="1" applyFill="1" applyBorder="1" applyAlignment="1">
      <alignment/>
    </xf>
    <xf numFmtId="0" fontId="16" fillId="35" borderId="50" xfId="0" applyFont="1" applyFill="1" applyBorder="1" applyAlignment="1">
      <alignment wrapText="1"/>
    </xf>
    <xf numFmtId="0" fontId="16" fillId="35" borderId="51" xfId="0" applyFont="1" applyFill="1" applyBorder="1" applyAlignment="1">
      <alignment/>
    </xf>
    <xf numFmtId="0" fontId="16" fillId="35" borderId="52" xfId="0" applyFont="1" applyFill="1" applyBorder="1" applyAlignment="1">
      <alignment/>
    </xf>
    <xf numFmtId="0" fontId="16" fillId="35" borderId="53" xfId="0" applyFont="1" applyFill="1" applyBorder="1" applyAlignment="1">
      <alignment/>
    </xf>
    <xf numFmtId="0" fontId="16" fillId="35" borderId="53" xfId="0" applyFont="1" applyFill="1" applyBorder="1" applyAlignment="1">
      <alignment wrapText="1"/>
    </xf>
    <xf numFmtId="44" fontId="16" fillId="35" borderId="53" xfId="44" applyFont="1" applyFill="1" applyBorder="1" applyAlignment="1">
      <alignment/>
    </xf>
    <xf numFmtId="44" fontId="16" fillId="35" borderId="54" xfId="0" applyNumberFormat="1" applyFont="1" applyFill="1" applyBorder="1" applyAlignment="1">
      <alignment/>
    </xf>
    <xf numFmtId="44" fontId="15" fillId="0" borderId="44" xfId="44" applyFont="1" applyBorder="1" applyAlignment="1">
      <alignment/>
    </xf>
    <xf numFmtId="44" fontId="15" fillId="0" borderId="44" xfId="0" applyNumberFormat="1" applyFont="1" applyBorder="1" applyAlignment="1">
      <alignment/>
    </xf>
    <xf numFmtId="44" fontId="15" fillId="0" borderId="45" xfId="0" applyNumberFormat="1" applyFont="1" applyBorder="1" applyAlignment="1">
      <alignment/>
    </xf>
    <xf numFmtId="44" fontId="15" fillId="0" borderId="45" xfId="44" applyFont="1" applyBorder="1" applyAlignment="1">
      <alignment/>
    </xf>
    <xf numFmtId="0" fontId="15" fillId="0" borderId="55" xfId="0" applyFont="1" applyBorder="1" applyAlignment="1">
      <alignment/>
    </xf>
    <xf numFmtId="0" fontId="15" fillId="0" borderId="56" xfId="0" applyFont="1" applyBorder="1" applyAlignment="1">
      <alignment wrapText="1"/>
    </xf>
    <xf numFmtId="44" fontId="15" fillId="0" borderId="56" xfId="44" applyFont="1" applyBorder="1" applyAlignment="1">
      <alignment/>
    </xf>
    <xf numFmtId="44" fontId="15" fillId="0" borderId="56" xfId="0" applyNumberFormat="1" applyFont="1" applyBorder="1" applyAlignment="1">
      <alignment/>
    </xf>
    <xf numFmtId="0" fontId="15" fillId="0" borderId="56" xfId="0" applyFont="1" applyBorder="1" applyAlignment="1">
      <alignment/>
    </xf>
    <xf numFmtId="0" fontId="15" fillId="0" borderId="57" xfId="0" applyFont="1" applyBorder="1" applyAlignment="1">
      <alignment/>
    </xf>
    <xf numFmtId="44" fontId="15" fillId="0" borderId="57" xfId="44" applyFont="1" applyBorder="1" applyAlignment="1">
      <alignment/>
    </xf>
    <xf numFmtId="0" fontId="16" fillId="35" borderId="48" xfId="0" applyFont="1" applyFill="1" applyBorder="1" applyAlignment="1">
      <alignment/>
    </xf>
    <xf numFmtId="44" fontId="16" fillId="35" borderId="47" xfId="44" applyFont="1" applyFill="1" applyBorder="1" applyAlignment="1">
      <alignment/>
    </xf>
    <xf numFmtId="44" fontId="16" fillId="35" borderId="48" xfId="0" applyNumberFormat="1" applyFont="1" applyFill="1" applyBorder="1" applyAlignment="1">
      <alignment/>
    </xf>
    <xf numFmtId="0" fontId="15" fillId="0" borderId="54" xfId="0" applyFont="1" applyBorder="1" applyAlignment="1">
      <alignment/>
    </xf>
    <xf numFmtId="44" fontId="16" fillId="35" borderId="35" xfId="44" applyFont="1" applyFill="1" applyBorder="1" applyAlignment="1">
      <alignment/>
    </xf>
    <xf numFmtId="0" fontId="16" fillId="34" borderId="58" xfId="0" applyFont="1" applyFill="1" applyBorder="1" applyAlignment="1">
      <alignment/>
    </xf>
    <xf numFmtId="0" fontId="16" fillId="34" borderId="58" xfId="0" applyFont="1" applyFill="1" applyBorder="1" applyAlignment="1">
      <alignment wrapText="1"/>
    </xf>
    <xf numFmtId="8" fontId="15" fillId="0" borderId="44" xfId="0" applyNumberFormat="1" applyFont="1" applyBorder="1" applyAlignment="1">
      <alignment/>
    </xf>
    <xf numFmtId="0" fontId="18" fillId="36" borderId="0" xfId="0" applyFont="1" applyFill="1" applyAlignment="1">
      <alignment/>
    </xf>
    <xf numFmtId="0" fontId="18" fillId="36" borderId="0" xfId="57" applyFont="1" applyFill="1">
      <alignment/>
      <protection/>
    </xf>
    <xf numFmtId="0" fontId="19" fillId="36" borderId="0" xfId="57" applyFont="1" applyFill="1">
      <alignment/>
      <protection/>
    </xf>
    <xf numFmtId="0" fontId="18" fillId="0" borderId="0" xfId="57" applyFont="1" applyFill="1">
      <alignment/>
      <protection/>
    </xf>
    <xf numFmtId="0" fontId="19" fillId="0" borderId="0" xfId="57" applyFont="1" applyFill="1">
      <alignment/>
      <protection/>
    </xf>
    <xf numFmtId="0" fontId="20" fillId="36" borderId="0" xfId="57" applyFont="1" applyFill="1">
      <alignment/>
      <protection/>
    </xf>
    <xf numFmtId="49" fontId="19" fillId="36" borderId="0" xfId="57" applyNumberFormat="1" applyFont="1" applyFill="1">
      <alignment/>
      <protection/>
    </xf>
    <xf numFmtId="49" fontId="19" fillId="0" borderId="0" xfId="57" applyNumberFormat="1" applyFont="1" applyFill="1">
      <alignment/>
      <protection/>
    </xf>
    <xf numFmtId="165" fontId="18" fillId="0" borderId="0" xfId="57" applyNumberFormat="1" applyFont="1" applyFill="1">
      <alignment/>
      <protection/>
    </xf>
    <xf numFmtId="0" fontId="24" fillId="0" borderId="0" xfId="57" applyFont="1">
      <alignment/>
      <protection/>
    </xf>
    <xf numFmtId="0" fontId="4" fillId="0" borderId="0" xfId="57" applyFont="1">
      <alignment/>
      <protection/>
    </xf>
    <xf numFmtId="49" fontId="25" fillId="0" borderId="0" xfId="57" applyNumberFormat="1" applyFont="1">
      <alignment/>
      <protection/>
    </xf>
    <xf numFmtId="165" fontId="1" fillId="0" borderId="0" xfId="57" applyNumberFormat="1">
      <alignment/>
      <protection/>
    </xf>
    <xf numFmtId="0" fontId="26" fillId="0" borderId="0" xfId="57" applyFont="1">
      <alignment/>
      <protection/>
    </xf>
    <xf numFmtId="0" fontId="1" fillId="0" borderId="0" xfId="57">
      <alignment/>
      <protection/>
    </xf>
    <xf numFmtId="0" fontId="23" fillId="0" borderId="59" xfId="57" applyFont="1" applyBorder="1" applyAlignment="1">
      <alignment horizontal="center"/>
      <protection/>
    </xf>
    <xf numFmtId="16" fontId="27" fillId="37" borderId="38" xfId="57" applyNumberFormat="1" applyFont="1" applyFill="1" applyBorder="1" applyAlignment="1" quotePrefix="1">
      <alignment horizontal="center"/>
      <protection/>
    </xf>
    <xf numFmtId="0" fontId="28" fillId="0" borderId="0" xfId="57" applyFont="1" applyAlignment="1" quotePrefix="1">
      <alignment horizontal="center"/>
      <protection/>
    </xf>
    <xf numFmtId="0" fontId="1" fillId="0" borderId="0" xfId="57" applyFill="1" applyBorder="1">
      <alignment/>
      <protection/>
    </xf>
    <xf numFmtId="0" fontId="26" fillId="0" borderId="0" xfId="57" applyFont="1" applyFill="1" applyBorder="1">
      <alignment/>
      <protection/>
    </xf>
    <xf numFmtId="176" fontId="29" fillId="0" borderId="0" xfId="57" applyNumberFormat="1" applyFont="1" applyFill="1" applyBorder="1" applyAlignment="1">
      <alignment horizontal="center" wrapText="1"/>
      <protection/>
    </xf>
    <xf numFmtId="0" fontId="30" fillId="0" borderId="0" xfId="57" applyFont="1" applyFill="1" applyBorder="1" applyAlignment="1">
      <alignment horizontal="left"/>
      <protection/>
    </xf>
    <xf numFmtId="176" fontId="7" fillId="0" borderId="0" xfId="42" applyNumberFormat="1" applyFont="1" applyFill="1" applyBorder="1" applyAlignment="1">
      <alignment horizontal="center"/>
    </xf>
    <xf numFmtId="176" fontId="7" fillId="37" borderId="38" xfId="42" applyNumberFormat="1" applyFont="1" applyFill="1" applyBorder="1" applyAlignment="1">
      <alignment horizontal="center"/>
    </xf>
    <xf numFmtId="0" fontId="4" fillId="0" borderId="0" xfId="57" applyFont="1" applyFill="1" applyBorder="1" applyAlignment="1">
      <alignment horizontal="center"/>
      <protection/>
    </xf>
    <xf numFmtId="0" fontId="1" fillId="0" borderId="0" xfId="57" applyFill="1" applyBorder="1" applyAlignment="1">
      <alignment horizontal="center"/>
      <protection/>
    </xf>
    <xf numFmtId="0" fontId="23" fillId="0" borderId="0" xfId="57" applyFont="1" applyFill="1" applyBorder="1" applyAlignment="1">
      <alignment horizontal="center"/>
      <protection/>
    </xf>
    <xf numFmtId="0" fontId="23" fillId="0" borderId="0" xfId="57" applyFont="1" applyFill="1" applyBorder="1" applyAlignment="1">
      <alignment horizontal="center" wrapText="1"/>
      <protection/>
    </xf>
    <xf numFmtId="176" fontId="7" fillId="0" borderId="0" xfId="57" applyNumberFormat="1" applyFont="1" applyFill="1" applyBorder="1" applyAlignment="1">
      <alignment horizontal="center" wrapText="1"/>
      <protection/>
    </xf>
    <xf numFmtId="0" fontId="7" fillId="0" borderId="59" xfId="57" applyFont="1" applyBorder="1">
      <alignment/>
      <protection/>
    </xf>
    <xf numFmtId="1" fontId="1" fillId="38" borderId="59" xfId="57" applyNumberFormat="1" applyFont="1" applyFill="1" applyBorder="1">
      <alignment/>
      <protection/>
    </xf>
    <xf numFmtId="1" fontId="1" fillId="38" borderId="44" xfId="57" applyNumberFormat="1" applyFont="1" applyFill="1" applyBorder="1">
      <alignment/>
      <protection/>
    </xf>
    <xf numFmtId="1" fontId="1" fillId="38" borderId="60" xfId="57" applyNumberFormat="1" applyFont="1" applyFill="1" applyBorder="1">
      <alignment/>
      <protection/>
    </xf>
    <xf numFmtId="49" fontId="25" fillId="0" borderId="0" xfId="57" applyNumberFormat="1" applyFont="1" applyFill="1" applyBorder="1">
      <alignment/>
      <protection/>
    </xf>
    <xf numFmtId="165" fontId="1" fillId="0" borderId="0" xfId="44" applyNumberFormat="1" applyFont="1" applyFill="1" applyBorder="1" applyAlignment="1">
      <alignment/>
    </xf>
    <xf numFmtId="0" fontId="7" fillId="0" borderId="61" xfId="57" applyFont="1" applyBorder="1" applyAlignment="1">
      <alignment horizontal="left"/>
      <protection/>
    </xf>
    <xf numFmtId="1" fontId="1" fillId="38" borderId="61" xfId="57" applyNumberFormat="1" applyFont="1" applyFill="1" applyBorder="1">
      <alignment/>
      <protection/>
    </xf>
    <xf numFmtId="1" fontId="1" fillId="38" borderId="62" xfId="57" applyNumberFormat="1" applyFont="1" applyFill="1" applyBorder="1">
      <alignment/>
      <protection/>
    </xf>
    <xf numFmtId="1" fontId="1" fillId="38" borderId="63" xfId="57" applyNumberFormat="1" applyFont="1" applyFill="1" applyBorder="1">
      <alignment/>
      <protection/>
    </xf>
    <xf numFmtId="165" fontId="1" fillId="0" borderId="0" xfId="57" applyNumberFormat="1" applyFill="1" applyBorder="1">
      <alignment/>
      <protection/>
    </xf>
    <xf numFmtId="176" fontId="1" fillId="38" borderId="61" xfId="42" applyNumberFormat="1" applyFont="1" applyFill="1" applyBorder="1" applyAlignment="1">
      <alignment/>
    </xf>
    <xf numFmtId="1" fontId="1" fillId="38" borderId="56" xfId="57" applyNumberFormat="1" applyFont="1" applyFill="1" applyBorder="1">
      <alignment/>
      <protection/>
    </xf>
    <xf numFmtId="0" fontId="30" fillId="0" borderId="61" xfId="57" applyFont="1" applyBorder="1">
      <alignment/>
      <protection/>
    </xf>
    <xf numFmtId="9" fontId="4" fillId="0" borderId="0" xfId="57" applyNumberFormat="1" applyFont="1">
      <alignment/>
      <protection/>
    </xf>
    <xf numFmtId="2" fontId="24" fillId="0" borderId="0" xfId="57" applyNumberFormat="1" applyFont="1" applyFill="1" applyBorder="1">
      <alignment/>
      <protection/>
    </xf>
    <xf numFmtId="2" fontId="24" fillId="0" borderId="64" xfId="57" applyNumberFormat="1" applyFont="1" applyFill="1" applyBorder="1">
      <alignment/>
      <protection/>
    </xf>
    <xf numFmtId="0" fontId="30" fillId="0" borderId="61" xfId="57" applyFont="1" applyFill="1" applyBorder="1">
      <alignment/>
      <protection/>
    </xf>
    <xf numFmtId="180" fontId="24" fillId="37" borderId="62" xfId="60" applyNumberFormat="1" applyFont="1" applyFill="1" applyBorder="1" applyAlignment="1">
      <alignment/>
    </xf>
    <xf numFmtId="0" fontId="31" fillId="0" borderId="65" xfId="57" applyFont="1" applyBorder="1">
      <alignment/>
      <protection/>
    </xf>
    <xf numFmtId="180" fontId="27" fillId="37" borderId="56" xfId="60" applyNumberFormat="1" applyFont="1" applyFill="1" applyBorder="1" applyAlignment="1">
      <alignment horizontal="center"/>
    </xf>
    <xf numFmtId="165" fontId="24" fillId="0" borderId="0" xfId="44" applyNumberFormat="1" applyFont="1" applyFill="1" applyBorder="1" applyAlignment="1">
      <alignment/>
    </xf>
    <xf numFmtId="0" fontId="4" fillId="0" borderId="0" xfId="57" applyFont="1" applyFill="1">
      <alignment/>
      <protection/>
    </xf>
    <xf numFmtId="10" fontId="4" fillId="0" borderId="0" xfId="57" applyNumberFormat="1" applyFont="1" applyFill="1">
      <alignment/>
      <protection/>
    </xf>
    <xf numFmtId="44" fontId="4" fillId="0" borderId="0" xfId="44" applyFont="1" applyAlignment="1">
      <alignment/>
    </xf>
    <xf numFmtId="43" fontId="1" fillId="0" borderId="0" xfId="57" applyNumberFormat="1">
      <alignment/>
      <protection/>
    </xf>
    <xf numFmtId="176" fontId="1" fillId="38" borderId="0" xfId="42" applyNumberFormat="1" applyFont="1" applyFill="1" applyBorder="1" applyAlignment="1">
      <alignment/>
    </xf>
    <xf numFmtId="165" fontId="24" fillId="38" borderId="62" xfId="44" applyNumberFormat="1" applyFont="1" applyFill="1" applyBorder="1" applyAlignment="1">
      <alignment/>
    </xf>
    <xf numFmtId="176" fontId="1" fillId="38" borderId="64" xfId="42" applyNumberFormat="1" applyFont="1" applyFill="1" applyBorder="1" applyAlignment="1">
      <alignment/>
    </xf>
    <xf numFmtId="0" fontId="7" fillId="0" borderId="0" xfId="57" applyFont="1" applyBorder="1" applyAlignment="1">
      <alignment horizontal="left"/>
      <protection/>
    </xf>
    <xf numFmtId="0" fontId="7" fillId="0" borderId="66" xfId="57" applyFont="1" applyBorder="1">
      <alignment/>
      <protection/>
    </xf>
    <xf numFmtId="0" fontId="17" fillId="0" borderId="0" xfId="0" applyFont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30" fillId="0" borderId="17" xfId="0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3" xfId="0" applyFont="1" applyBorder="1" applyAlignment="1">
      <alignment/>
    </xf>
    <xf numFmtId="0" fontId="30" fillId="0" borderId="21" xfId="0" applyFont="1" applyBorder="1" applyAlignment="1">
      <alignment horizontal="center"/>
    </xf>
    <xf numFmtId="0" fontId="28" fillId="0" borderId="15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4" fillId="0" borderId="19" xfId="0" applyFont="1" applyBorder="1" applyAlignment="1">
      <alignment/>
    </xf>
    <xf numFmtId="37" fontId="4" fillId="0" borderId="16" xfId="0" applyNumberFormat="1" applyFont="1" applyBorder="1" applyAlignment="1" applyProtection="1">
      <alignment/>
      <protection/>
    </xf>
    <xf numFmtId="0" fontId="30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30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6" fontId="30" fillId="33" borderId="26" xfId="0" applyNumberFormat="1" applyFont="1" applyFill="1" applyBorder="1" applyAlignment="1" applyProtection="1">
      <alignment/>
      <protection/>
    </xf>
    <xf numFmtId="0" fontId="4" fillId="0" borderId="22" xfId="0" applyFont="1" applyBorder="1" applyAlignment="1">
      <alignment/>
    </xf>
    <xf numFmtId="0" fontId="4" fillId="33" borderId="31" xfId="0" applyFont="1" applyFill="1" applyBorder="1" applyAlignment="1">
      <alignment/>
    </xf>
    <xf numFmtId="0" fontId="30" fillId="33" borderId="28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6" fontId="30" fillId="33" borderId="29" xfId="0" applyNumberFormat="1" applyFont="1" applyFill="1" applyBorder="1" applyAlignment="1" applyProtection="1">
      <alignment/>
      <protection/>
    </xf>
    <xf numFmtId="6" fontId="4" fillId="0" borderId="16" xfId="0" applyNumberFormat="1" applyFont="1" applyBorder="1" applyAlignment="1" applyProtection="1">
      <alignment/>
      <protection/>
    </xf>
    <xf numFmtId="0" fontId="28" fillId="0" borderId="0" xfId="0" applyFont="1" applyAlignment="1">
      <alignment/>
    </xf>
    <xf numFmtId="0" fontId="30" fillId="0" borderId="16" xfId="0" applyFont="1" applyBorder="1" applyAlignment="1">
      <alignment/>
    </xf>
    <xf numFmtId="0" fontId="30" fillId="0" borderId="26" xfId="0" applyFont="1" applyBorder="1" applyAlignment="1">
      <alignment/>
    </xf>
    <xf numFmtId="6" fontId="30" fillId="33" borderId="23" xfId="0" applyNumberFormat="1" applyFont="1" applyFill="1" applyBorder="1" applyAlignment="1" applyProtection="1">
      <alignment/>
      <protection/>
    </xf>
    <xf numFmtId="0" fontId="4" fillId="0" borderId="21" xfId="0" applyFont="1" applyBorder="1" applyAlignment="1">
      <alignment/>
    </xf>
    <xf numFmtId="37" fontId="30" fillId="0" borderId="16" xfId="0" applyNumberFormat="1" applyFont="1" applyBorder="1" applyAlignment="1" applyProtection="1">
      <alignment/>
      <protection/>
    </xf>
    <xf numFmtId="6" fontId="30" fillId="0" borderId="16" xfId="0" applyNumberFormat="1" applyFont="1" applyBorder="1" applyAlignment="1" applyProtection="1">
      <alignment/>
      <protection/>
    </xf>
    <xf numFmtId="0" fontId="30" fillId="0" borderId="13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wrapText="1"/>
    </xf>
    <xf numFmtId="44" fontId="15" fillId="0" borderId="0" xfId="44" applyFont="1" applyBorder="1" applyAlignment="1">
      <alignment/>
    </xf>
    <xf numFmtId="44" fontId="16" fillId="0" borderId="0" xfId="44" applyFont="1" applyBorder="1" applyAlignment="1">
      <alignment/>
    </xf>
    <xf numFmtId="0" fontId="16" fillId="0" borderId="58" xfId="0" applyFont="1" applyBorder="1" applyAlignment="1">
      <alignment/>
    </xf>
    <xf numFmtId="0" fontId="15" fillId="0" borderId="58" xfId="0" applyFont="1" applyBorder="1" applyAlignment="1">
      <alignment wrapText="1"/>
    </xf>
    <xf numFmtId="44" fontId="16" fillId="0" borderId="58" xfId="44" applyFont="1" applyBorder="1" applyAlignment="1">
      <alignment/>
    </xf>
    <xf numFmtId="0" fontId="15" fillId="0" borderId="58" xfId="0" applyFont="1" applyBorder="1" applyAlignment="1">
      <alignment/>
    </xf>
    <xf numFmtId="0" fontId="15" fillId="34" borderId="0" xfId="0" applyFont="1" applyFill="1" applyBorder="1" applyAlignment="1">
      <alignment/>
    </xf>
    <xf numFmtId="0" fontId="16" fillId="0" borderId="0" xfId="0" applyFont="1" applyBorder="1" applyAlignment="1">
      <alignment wrapText="1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5" fillId="38" borderId="0" xfId="0" applyFont="1" applyFill="1" applyBorder="1" applyAlignment="1">
      <alignment wrapText="1"/>
    </xf>
    <xf numFmtId="44" fontId="15" fillId="38" borderId="0" xfId="44" applyFont="1" applyFill="1" applyBorder="1" applyAlignment="1">
      <alignment/>
    </xf>
    <xf numFmtId="44" fontId="15" fillId="38" borderId="0" xfId="0" applyNumberFormat="1" applyFont="1" applyFill="1" applyBorder="1" applyAlignment="1">
      <alignment/>
    </xf>
    <xf numFmtId="0" fontId="15" fillId="38" borderId="0" xfId="0" applyFont="1" applyFill="1" applyBorder="1" applyAlignment="1">
      <alignment/>
    </xf>
    <xf numFmtId="0" fontId="15" fillId="37" borderId="0" xfId="0" applyFont="1" applyFill="1" applyBorder="1" applyAlignment="1">
      <alignment wrapText="1"/>
    </xf>
    <xf numFmtId="44" fontId="15" fillId="37" borderId="0" xfId="44" applyFont="1" applyFill="1" applyBorder="1" applyAlignment="1">
      <alignment/>
    </xf>
    <xf numFmtId="44" fontId="15" fillId="37" borderId="0" xfId="0" applyNumberFormat="1" applyFont="1" applyFill="1" applyBorder="1" applyAlignment="1">
      <alignment/>
    </xf>
    <xf numFmtId="0" fontId="15" fillId="37" borderId="0" xfId="0" applyFont="1" applyFill="1" applyBorder="1" applyAlignment="1">
      <alignment/>
    </xf>
    <xf numFmtId="0" fontId="16" fillId="0" borderId="61" xfId="0" applyFont="1" applyFill="1" applyBorder="1" applyAlignment="1">
      <alignment/>
    </xf>
    <xf numFmtId="0" fontId="16" fillId="0" borderId="63" xfId="0" applyFont="1" applyFill="1" applyBorder="1" applyAlignment="1">
      <alignment/>
    </xf>
    <xf numFmtId="0" fontId="15" fillId="0" borderId="61" xfId="0" applyFont="1" applyBorder="1" applyAlignment="1">
      <alignment/>
    </xf>
    <xf numFmtId="0" fontId="15" fillId="38" borderId="63" xfId="0" applyFont="1" applyFill="1" applyBorder="1" applyAlignment="1">
      <alignment/>
    </xf>
    <xf numFmtId="0" fontId="16" fillId="0" borderId="59" xfId="0" applyFont="1" applyBorder="1" applyAlignment="1">
      <alignment/>
    </xf>
    <xf numFmtId="0" fontId="15" fillId="0" borderId="60" xfId="0" applyFont="1" applyBorder="1" applyAlignment="1">
      <alignment/>
    </xf>
    <xf numFmtId="0" fontId="15" fillId="0" borderId="63" xfId="0" applyFont="1" applyBorder="1" applyAlignment="1">
      <alignment/>
    </xf>
    <xf numFmtId="0" fontId="16" fillId="0" borderId="61" xfId="0" applyFont="1" applyBorder="1" applyAlignment="1">
      <alignment/>
    </xf>
    <xf numFmtId="0" fontId="15" fillId="37" borderId="63" xfId="0" applyFont="1" applyFill="1" applyBorder="1" applyAlignment="1">
      <alignment/>
    </xf>
    <xf numFmtId="0" fontId="15" fillId="34" borderId="61" xfId="0" applyFont="1" applyFill="1" applyBorder="1" applyAlignment="1">
      <alignment/>
    </xf>
    <xf numFmtId="44" fontId="16" fillId="0" borderId="60" xfId="44" applyFont="1" applyBorder="1" applyAlignment="1">
      <alignment/>
    </xf>
    <xf numFmtId="44" fontId="15" fillId="0" borderId="63" xfId="0" applyNumberFormat="1" applyFont="1" applyBorder="1" applyAlignment="1">
      <alignment/>
    </xf>
    <xf numFmtId="0" fontId="16" fillId="34" borderId="61" xfId="0" applyFont="1" applyFill="1" applyBorder="1" applyAlignment="1">
      <alignment/>
    </xf>
    <xf numFmtId="44" fontId="15" fillId="38" borderId="63" xfId="0" applyNumberFormat="1" applyFont="1" applyFill="1" applyBorder="1" applyAlignment="1">
      <alignment/>
    </xf>
    <xf numFmtId="0" fontId="20" fillId="0" borderId="0" xfId="57" applyFont="1" applyFill="1">
      <alignment/>
      <protection/>
    </xf>
    <xf numFmtId="0" fontId="32" fillId="0" borderId="0" xfId="0" applyFont="1" applyBorder="1" applyAlignment="1">
      <alignment/>
    </xf>
    <xf numFmtId="0" fontId="16" fillId="0" borderId="0" xfId="0" applyFont="1" applyFill="1" applyBorder="1" applyAlignment="1">
      <alignment horizontal="center"/>
    </xf>
    <xf numFmtId="0" fontId="32" fillId="39" borderId="59" xfId="0" applyFont="1" applyFill="1" applyBorder="1" applyAlignment="1">
      <alignment/>
    </xf>
    <xf numFmtId="0" fontId="33" fillId="0" borderId="0" xfId="0" applyFont="1" applyAlignment="1">
      <alignment/>
    </xf>
    <xf numFmtId="0" fontId="32" fillId="39" borderId="0" xfId="0" applyFont="1" applyFill="1" applyBorder="1" applyAlignment="1">
      <alignment/>
    </xf>
    <xf numFmtId="0" fontId="32" fillId="0" borderId="0" xfId="0" applyFont="1" applyFill="1" applyBorder="1" applyAlignment="1">
      <alignment horizontal="center"/>
    </xf>
    <xf numFmtId="0" fontId="33" fillId="0" borderId="0" xfId="0" applyFont="1" applyBorder="1" applyAlignment="1">
      <alignment/>
    </xf>
    <xf numFmtId="44" fontId="34" fillId="0" borderId="0" xfId="0" applyNumberFormat="1" applyFont="1" applyBorder="1" applyAlignment="1">
      <alignment/>
    </xf>
    <xf numFmtId="0" fontId="35" fillId="0" borderId="0" xfId="0" applyFont="1" applyBorder="1" applyAlignment="1">
      <alignment/>
    </xf>
    <xf numFmtId="0" fontId="34" fillId="0" borderId="0" xfId="0" applyFont="1" applyAlignment="1">
      <alignment/>
    </xf>
    <xf numFmtId="0" fontId="34" fillId="39" borderId="65" xfId="0" applyFont="1" applyFill="1" applyBorder="1" applyAlignment="1">
      <alignment/>
    </xf>
    <xf numFmtId="0" fontId="34" fillId="39" borderId="64" xfId="0" applyFont="1" applyFill="1" applyBorder="1" applyAlignment="1">
      <alignment/>
    </xf>
    <xf numFmtId="0" fontId="34" fillId="39" borderId="64" xfId="0" applyFont="1" applyFill="1" applyBorder="1" applyAlignment="1">
      <alignment wrapText="1"/>
    </xf>
    <xf numFmtId="44" fontId="34" fillId="39" borderId="64" xfId="0" applyNumberFormat="1" applyFont="1" applyFill="1" applyBorder="1" applyAlignment="1">
      <alignment/>
    </xf>
    <xf numFmtId="44" fontId="34" fillId="39" borderId="67" xfId="0" applyNumberFormat="1" applyFont="1" applyFill="1" applyBorder="1" applyAlignment="1">
      <alignment/>
    </xf>
    <xf numFmtId="0" fontId="32" fillId="40" borderId="59" xfId="0" applyFont="1" applyFill="1" applyBorder="1" applyAlignment="1">
      <alignment/>
    </xf>
    <xf numFmtId="0" fontId="34" fillId="40" borderId="65" xfId="0" applyFont="1" applyFill="1" applyBorder="1" applyAlignment="1">
      <alignment/>
    </xf>
    <xf numFmtId="0" fontId="34" fillId="40" borderId="64" xfId="0" applyFont="1" applyFill="1" applyBorder="1" applyAlignment="1">
      <alignment/>
    </xf>
    <xf numFmtId="0" fontId="34" fillId="40" borderId="64" xfId="0" applyFont="1" applyFill="1" applyBorder="1" applyAlignment="1">
      <alignment wrapText="1"/>
    </xf>
    <xf numFmtId="44" fontId="34" fillId="40" borderId="64" xfId="0" applyNumberFormat="1" applyFont="1" applyFill="1" applyBorder="1" applyAlignment="1">
      <alignment/>
    </xf>
    <xf numFmtId="44" fontId="34" fillId="40" borderId="67" xfId="0" applyNumberFormat="1" applyFont="1" applyFill="1" applyBorder="1" applyAlignment="1">
      <alignment/>
    </xf>
    <xf numFmtId="0" fontId="32" fillId="41" borderId="59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wrapText="1"/>
    </xf>
    <xf numFmtId="44" fontId="34" fillId="0" borderId="0" xfId="0" applyNumberFormat="1" applyFont="1" applyFill="1" applyBorder="1" applyAlignment="1">
      <alignment/>
    </xf>
    <xf numFmtId="0" fontId="32" fillId="42" borderId="59" xfId="0" applyFont="1" applyFill="1" applyBorder="1" applyAlignment="1">
      <alignment/>
    </xf>
    <xf numFmtId="44" fontId="16" fillId="0" borderId="0" xfId="0" applyNumberFormat="1" applyFont="1" applyFill="1" applyBorder="1" applyAlignment="1">
      <alignment/>
    </xf>
    <xf numFmtId="0" fontId="32" fillId="43" borderId="59" xfId="0" applyFont="1" applyFill="1" applyBorder="1" applyAlignment="1">
      <alignment/>
    </xf>
    <xf numFmtId="44" fontId="15" fillId="0" borderId="0" xfId="44" applyFont="1" applyFill="1" applyBorder="1" applyAlignment="1">
      <alignment/>
    </xf>
    <xf numFmtId="0" fontId="32" fillId="44" borderId="59" xfId="0" applyFont="1" applyFill="1" applyBorder="1" applyAlignment="1">
      <alignment/>
    </xf>
    <xf numFmtId="0" fontId="15" fillId="45" borderId="0" xfId="0" applyFont="1" applyFill="1" applyBorder="1" applyAlignment="1">
      <alignment/>
    </xf>
    <xf numFmtId="0" fontId="15" fillId="0" borderId="0" xfId="0" applyFont="1" applyFill="1" applyBorder="1" applyAlignment="1">
      <alignment wrapText="1"/>
    </xf>
    <xf numFmtId="44" fontId="16" fillId="0" borderId="0" xfId="44" applyFont="1" applyFill="1" applyBorder="1" applyAlignment="1">
      <alignment/>
    </xf>
    <xf numFmtId="0" fontId="15" fillId="0" borderId="60" xfId="0" applyFont="1" applyBorder="1" applyAlignment="1">
      <alignment wrapText="1"/>
    </xf>
    <xf numFmtId="44" fontId="15" fillId="38" borderId="63" xfId="44" applyFont="1" applyFill="1" applyBorder="1" applyAlignment="1">
      <alignment/>
    </xf>
    <xf numFmtId="0" fontId="16" fillId="0" borderId="63" xfId="0" applyFont="1" applyFill="1" applyBorder="1" applyAlignment="1">
      <alignment horizontal="center"/>
    </xf>
    <xf numFmtId="0" fontId="32" fillId="0" borderId="61" xfId="0" applyFont="1" applyFill="1" applyBorder="1" applyAlignment="1">
      <alignment/>
    </xf>
    <xf numFmtId="0" fontId="32" fillId="0" borderId="63" xfId="0" applyFont="1" applyFill="1" applyBorder="1" applyAlignment="1">
      <alignment horizontal="center"/>
    </xf>
    <xf numFmtId="44" fontId="16" fillId="0" borderId="63" xfId="44" applyFont="1" applyBorder="1" applyAlignment="1">
      <alignment/>
    </xf>
    <xf numFmtId="0" fontId="34" fillId="41" borderId="65" xfId="0" applyFont="1" applyFill="1" applyBorder="1" applyAlignment="1">
      <alignment/>
    </xf>
    <xf numFmtId="0" fontId="34" fillId="41" borderId="64" xfId="0" applyFont="1" applyFill="1" applyBorder="1" applyAlignment="1">
      <alignment/>
    </xf>
    <xf numFmtId="0" fontId="34" fillId="41" borderId="64" xfId="0" applyFont="1" applyFill="1" applyBorder="1" applyAlignment="1">
      <alignment wrapText="1"/>
    </xf>
    <xf numFmtId="44" fontId="34" fillId="41" borderId="64" xfId="0" applyNumberFormat="1" applyFont="1" applyFill="1" applyBorder="1" applyAlignment="1">
      <alignment/>
    </xf>
    <xf numFmtId="44" fontId="34" fillId="41" borderId="67" xfId="0" applyNumberFormat="1" applyFont="1" applyFill="1" applyBorder="1" applyAlignment="1">
      <alignment/>
    </xf>
    <xf numFmtId="0" fontId="34" fillId="42" borderId="65" xfId="0" applyFont="1" applyFill="1" applyBorder="1" applyAlignment="1">
      <alignment/>
    </xf>
    <xf numFmtId="0" fontId="34" fillId="42" borderId="64" xfId="0" applyFont="1" applyFill="1" applyBorder="1" applyAlignment="1">
      <alignment/>
    </xf>
    <xf numFmtId="0" fontId="34" fillId="42" borderId="64" xfId="0" applyFont="1" applyFill="1" applyBorder="1" applyAlignment="1">
      <alignment wrapText="1"/>
    </xf>
    <xf numFmtId="44" fontId="34" fillId="42" borderId="64" xfId="0" applyNumberFormat="1" applyFont="1" applyFill="1" applyBorder="1" applyAlignment="1">
      <alignment/>
    </xf>
    <xf numFmtId="44" fontId="34" fillId="42" borderId="67" xfId="0" applyNumberFormat="1" applyFont="1" applyFill="1" applyBorder="1" applyAlignment="1">
      <alignment/>
    </xf>
    <xf numFmtId="44" fontId="16" fillId="0" borderId="63" xfId="0" applyNumberFormat="1" applyFont="1" applyFill="1" applyBorder="1" applyAlignment="1">
      <alignment/>
    </xf>
    <xf numFmtId="0" fontId="34" fillId="43" borderId="65" xfId="0" applyFont="1" applyFill="1" applyBorder="1" applyAlignment="1">
      <alignment/>
    </xf>
    <xf numFmtId="0" fontId="34" fillId="43" borderId="64" xfId="0" applyFont="1" applyFill="1" applyBorder="1" applyAlignment="1">
      <alignment/>
    </xf>
    <xf numFmtId="0" fontId="34" fillId="43" borderId="64" xfId="0" applyFont="1" applyFill="1" applyBorder="1" applyAlignment="1">
      <alignment wrapText="1"/>
    </xf>
    <xf numFmtId="44" fontId="34" fillId="43" borderId="64" xfId="0" applyNumberFormat="1" applyFont="1" applyFill="1" applyBorder="1" applyAlignment="1">
      <alignment/>
    </xf>
    <xf numFmtId="44" fontId="34" fillId="43" borderId="67" xfId="0" applyNumberFormat="1" applyFont="1" applyFill="1" applyBorder="1" applyAlignment="1">
      <alignment/>
    </xf>
    <xf numFmtId="0" fontId="34" fillId="44" borderId="65" xfId="0" applyFont="1" applyFill="1" applyBorder="1" applyAlignment="1">
      <alignment/>
    </xf>
    <xf numFmtId="0" fontId="34" fillId="44" borderId="64" xfId="0" applyFont="1" applyFill="1" applyBorder="1" applyAlignment="1">
      <alignment/>
    </xf>
    <xf numFmtId="0" fontId="34" fillId="44" borderId="64" xfId="0" applyFont="1" applyFill="1" applyBorder="1" applyAlignment="1">
      <alignment wrapText="1"/>
    </xf>
    <xf numFmtId="44" fontId="34" fillId="44" borderId="64" xfId="0" applyNumberFormat="1" applyFont="1" applyFill="1" applyBorder="1" applyAlignment="1">
      <alignment/>
    </xf>
    <xf numFmtId="44" fontId="34" fillId="44" borderId="67" xfId="0" applyNumberFormat="1" applyFont="1" applyFill="1" applyBorder="1" applyAlignment="1">
      <alignment/>
    </xf>
    <xf numFmtId="0" fontId="37" fillId="0" borderId="59" xfId="0" applyFont="1" applyBorder="1" applyAlignment="1">
      <alignment/>
    </xf>
    <xf numFmtId="0" fontId="34" fillId="0" borderId="0" xfId="0" applyFont="1" applyBorder="1" applyAlignment="1">
      <alignment/>
    </xf>
    <xf numFmtId="0" fontId="37" fillId="0" borderId="0" xfId="0" applyFont="1" applyBorder="1" applyAlignment="1">
      <alignment/>
    </xf>
    <xf numFmtId="44" fontId="16" fillId="0" borderId="58" xfId="44" applyFont="1" applyFill="1" applyBorder="1" applyAlignment="1">
      <alignment/>
    </xf>
    <xf numFmtId="0" fontId="32" fillId="45" borderId="0" xfId="0" applyFont="1" applyFill="1" applyBorder="1" applyAlignment="1">
      <alignment/>
    </xf>
    <xf numFmtId="0" fontId="16" fillId="0" borderId="58" xfId="0" applyFont="1" applyBorder="1" applyAlignment="1">
      <alignment wrapText="1"/>
    </xf>
    <xf numFmtId="0" fontId="37" fillId="0" borderId="0" xfId="0" applyFont="1" applyFill="1" applyAlignment="1">
      <alignment/>
    </xf>
    <xf numFmtId="0" fontId="37" fillId="0" borderId="59" xfId="0" applyFont="1" applyFill="1" applyBorder="1" applyAlignment="1">
      <alignment/>
    </xf>
    <xf numFmtId="0" fontId="40" fillId="0" borderId="58" xfId="0" applyFont="1" applyFill="1" applyBorder="1" applyAlignment="1">
      <alignment/>
    </xf>
    <xf numFmtId="0" fontId="35" fillId="0" borderId="58" xfId="0" applyFont="1" applyFill="1" applyBorder="1" applyAlignment="1">
      <alignment/>
    </xf>
    <xf numFmtId="0" fontId="38" fillId="0" borderId="58" xfId="0" applyFont="1" applyFill="1" applyBorder="1" applyAlignment="1">
      <alignment horizontal="center"/>
    </xf>
    <xf numFmtId="0" fontId="35" fillId="0" borderId="60" xfId="0" applyFont="1" applyBorder="1" applyAlignment="1">
      <alignment/>
    </xf>
    <xf numFmtId="0" fontId="37" fillId="0" borderId="61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5" fillId="0" borderId="63" xfId="0" applyFont="1" applyBorder="1" applyAlignment="1">
      <alignment/>
    </xf>
    <xf numFmtId="0" fontId="15" fillId="0" borderId="61" xfId="0" applyFont="1" applyFill="1" applyBorder="1" applyAlignment="1">
      <alignment wrapText="1"/>
    </xf>
    <xf numFmtId="0" fontId="38" fillId="0" borderId="0" xfId="0" applyFont="1" applyFill="1" applyBorder="1" applyAlignment="1">
      <alignment horizontal="center" wrapText="1"/>
    </xf>
    <xf numFmtId="0" fontId="16" fillId="0" borderId="63" xfId="0" applyFont="1" applyBorder="1" applyAlignment="1">
      <alignment horizontal="center" wrapText="1"/>
    </xf>
    <xf numFmtId="0" fontId="15" fillId="0" borderId="61" xfId="0" applyFont="1" applyFill="1" applyBorder="1" applyAlignment="1">
      <alignment/>
    </xf>
    <xf numFmtId="44" fontId="15" fillId="0" borderId="63" xfId="44" applyFont="1" applyFill="1" applyBorder="1" applyAlignment="1">
      <alignment/>
    </xf>
    <xf numFmtId="0" fontId="16" fillId="0" borderId="59" xfId="0" applyFont="1" applyFill="1" applyBorder="1" applyAlignment="1">
      <alignment/>
    </xf>
    <xf numFmtId="0" fontId="15" fillId="0" borderId="61" xfId="0" applyFont="1" applyFill="1" applyBorder="1" applyAlignment="1">
      <alignment/>
    </xf>
    <xf numFmtId="0" fontId="39" fillId="0" borderId="61" xfId="0" applyFont="1" applyFill="1" applyBorder="1" applyAlignment="1">
      <alignment/>
    </xf>
    <xf numFmtId="0" fontId="15" fillId="0" borderId="65" xfId="0" applyFont="1" applyBorder="1" applyAlignment="1">
      <alignment/>
    </xf>
    <xf numFmtId="0" fontId="34" fillId="45" borderId="64" xfId="0" applyFont="1" applyFill="1" applyBorder="1" applyAlignment="1">
      <alignment/>
    </xf>
    <xf numFmtId="0" fontId="15" fillId="0" borderId="64" xfId="0" applyFont="1" applyBorder="1" applyAlignment="1">
      <alignment/>
    </xf>
    <xf numFmtId="0" fontId="15" fillId="0" borderId="67" xfId="0" applyFont="1" applyBorder="1" applyAlignment="1">
      <alignment/>
    </xf>
    <xf numFmtId="0" fontId="36" fillId="0" borderId="59" xfId="0" applyFont="1" applyFill="1" applyBorder="1" applyAlignment="1">
      <alignment/>
    </xf>
    <xf numFmtId="0" fontId="36" fillId="0" borderId="58" xfId="0" applyFont="1" applyBorder="1" applyAlignment="1">
      <alignment horizontal="center"/>
    </xf>
    <xf numFmtId="0" fontId="36" fillId="0" borderId="60" xfId="0" applyFont="1" applyBorder="1" applyAlignment="1">
      <alignment horizontal="center"/>
    </xf>
    <xf numFmtId="0" fontId="15" fillId="38" borderId="61" xfId="0" applyFont="1" applyFill="1" applyBorder="1" applyAlignment="1">
      <alignment/>
    </xf>
    <xf numFmtId="176" fontId="15" fillId="0" borderId="63" xfId="42" applyNumberFormat="1" applyFont="1" applyBorder="1" applyAlignment="1">
      <alignment/>
    </xf>
    <xf numFmtId="0" fontId="36" fillId="0" borderId="61" xfId="0" applyFont="1" applyFill="1" applyBorder="1" applyAlignment="1">
      <alignment/>
    </xf>
    <xf numFmtId="0" fontId="36" fillId="0" borderId="0" xfId="0" applyFont="1" applyBorder="1" applyAlignment="1">
      <alignment horizontal="center"/>
    </xf>
    <xf numFmtId="0" fontId="36" fillId="0" borderId="63" xfId="0" applyFont="1" applyBorder="1" applyAlignment="1">
      <alignment horizontal="center"/>
    </xf>
    <xf numFmtId="0" fontId="34" fillId="45" borderId="65" xfId="0" applyFont="1" applyFill="1" applyBorder="1" applyAlignment="1">
      <alignment/>
    </xf>
    <xf numFmtId="44" fontId="34" fillId="45" borderId="64" xfId="0" applyNumberFormat="1" applyFont="1" applyFill="1" applyBorder="1" applyAlignment="1">
      <alignment wrapText="1"/>
    </xf>
    <xf numFmtId="44" fontId="34" fillId="45" borderId="67" xfId="44" applyFont="1" applyFill="1" applyBorder="1" applyAlignment="1">
      <alignment/>
    </xf>
    <xf numFmtId="44" fontId="16" fillId="0" borderId="60" xfId="44" applyFont="1" applyFill="1" applyBorder="1" applyAlignment="1">
      <alignment/>
    </xf>
    <xf numFmtId="0" fontId="41" fillId="36" borderId="0" xfId="0" applyFont="1" applyFill="1" applyAlignment="1">
      <alignment/>
    </xf>
    <xf numFmtId="0" fontId="34" fillId="39" borderId="0" xfId="0" applyFont="1" applyFill="1" applyBorder="1" applyAlignment="1">
      <alignment/>
    </xf>
    <xf numFmtId="0" fontId="34" fillId="39" borderId="0" xfId="0" applyFont="1" applyFill="1" applyBorder="1" applyAlignment="1">
      <alignment wrapText="1"/>
    </xf>
    <xf numFmtId="44" fontId="34" fillId="39" borderId="0" xfId="0" applyNumberFormat="1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4" fillId="0" borderId="0" xfId="0" applyFont="1" applyBorder="1" applyAlignment="1">
      <alignment wrapText="1"/>
    </xf>
    <xf numFmtId="0" fontId="34" fillId="0" borderId="61" xfId="0" applyFont="1" applyBorder="1" applyAlignment="1">
      <alignment/>
    </xf>
    <xf numFmtId="44" fontId="34" fillId="0" borderId="63" xfId="44" applyFont="1" applyFill="1" applyBorder="1" applyAlignment="1">
      <alignment/>
    </xf>
    <xf numFmtId="0" fontId="15" fillId="0" borderId="63" xfId="0" applyFont="1" applyFill="1" applyBorder="1" applyAlignment="1">
      <alignment/>
    </xf>
    <xf numFmtId="165" fontId="24" fillId="37" borderId="0" xfId="44" applyNumberFormat="1" applyFont="1" applyFill="1" applyBorder="1" applyAlignment="1">
      <alignment/>
    </xf>
    <xf numFmtId="0" fontId="32" fillId="46" borderId="59" xfId="0" applyFont="1" applyFill="1" applyBorder="1" applyAlignment="1">
      <alignment/>
    </xf>
    <xf numFmtId="0" fontId="34" fillId="46" borderId="65" xfId="0" applyFont="1" applyFill="1" applyBorder="1" applyAlignment="1">
      <alignment/>
    </xf>
    <xf numFmtId="0" fontId="34" fillId="46" borderId="64" xfId="0" applyFont="1" applyFill="1" applyBorder="1" applyAlignment="1">
      <alignment/>
    </xf>
    <xf numFmtId="0" fontId="34" fillId="46" borderId="64" xfId="0" applyFont="1" applyFill="1" applyBorder="1" applyAlignment="1">
      <alignment wrapText="1"/>
    </xf>
    <xf numFmtId="44" fontId="34" fillId="46" borderId="64" xfId="0" applyNumberFormat="1" applyFont="1" applyFill="1" applyBorder="1" applyAlignment="1">
      <alignment/>
    </xf>
    <xf numFmtId="44" fontId="34" fillId="46" borderId="67" xfId="0" applyNumberFormat="1" applyFont="1" applyFill="1" applyBorder="1" applyAlignment="1">
      <alignment/>
    </xf>
    <xf numFmtId="0" fontId="32" fillId="47" borderId="59" xfId="0" applyFont="1" applyFill="1" applyBorder="1" applyAlignment="1">
      <alignment/>
    </xf>
    <xf numFmtId="0" fontId="34" fillId="47" borderId="65" xfId="0" applyFont="1" applyFill="1" applyBorder="1" applyAlignment="1">
      <alignment/>
    </xf>
    <xf numFmtId="0" fontId="34" fillId="47" borderId="64" xfId="0" applyFont="1" applyFill="1" applyBorder="1" applyAlignment="1">
      <alignment/>
    </xf>
    <xf numFmtId="0" fontId="34" fillId="47" borderId="64" xfId="0" applyFont="1" applyFill="1" applyBorder="1" applyAlignment="1">
      <alignment wrapText="1"/>
    </xf>
    <xf numFmtId="44" fontId="34" fillId="47" borderId="64" xfId="0" applyNumberFormat="1" applyFont="1" applyFill="1" applyBorder="1" applyAlignment="1">
      <alignment/>
    </xf>
    <xf numFmtId="44" fontId="34" fillId="47" borderId="67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30" fillId="0" borderId="16" xfId="0" applyFont="1" applyBorder="1" applyAlignment="1">
      <alignment horizontal="center" vertical="center"/>
    </xf>
    <xf numFmtId="0" fontId="28" fillId="0" borderId="16" xfId="0" applyFont="1" applyBorder="1" applyAlignment="1">
      <alignment/>
    </xf>
    <xf numFmtId="165" fontId="30" fillId="0" borderId="23" xfId="0" applyNumberFormat="1" applyFont="1" applyBorder="1" applyAlignment="1" applyProtection="1">
      <alignment/>
      <protection locked="0"/>
    </xf>
    <xf numFmtId="6" fontId="30" fillId="0" borderId="23" xfId="0" applyNumberFormat="1" applyFont="1" applyBorder="1" applyAlignment="1" applyProtection="1">
      <alignment/>
      <protection/>
    </xf>
    <xf numFmtId="44" fontId="30" fillId="0" borderId="23" xfId="0" applyNumberFormat="1" applyFont="1" applyBorder="1" applyAlignment="1" applyProtection="1">
      <alignment/>
      <protection locked="0"/>
    </xf>
    <xf numFmtId="0" fontId="30" fillId="36" borderId="0" xfId="0" applyFont="1" applyFill="1" applyAlignment="1">
      <alignment/>
    </xf>
    <xf numFmtId="0" fontId="30" fillId="0" borderId="0" xfId="0" applyFont="1" applyFill="1" applyAlignment="1">
      <alignment/>
    </xf>
    <xf numFmtId="0" fontId="28" fillId="36" borderId="0" xfId="0" applyFont="1" applyFill="1" applyAlignment="1">
      <alignment/>
    </xf>
    <xf numFmtId="6" fontId="4" fillId="0" borderId="23" xfId="0" applyNumberFormat="1" applyFont="1" applyBorder="1" applyAlignment="1" applyProtection="1">
      <alignment/>
      <protection locked="0"/>
    </xf>
    <xf numFmtId="6" fontId="30" fillId="0" borderId="23" xfId="0" applyNumberFormat="1" applyFont="1" applyBorder="1" applyAlignment="1" applyProtection="1">
      <alignment/>
      <protection locked="0"/>
    </xf>
    <xf numFmtId="6" fontId="4" fillId="0" borderId="16" xfId="0" applyNumberFormat="1" applyFont="1" applyBorder="1" applyAlignment="1" applyProtection="1">
      <alignment/>
      <protection locked="0"/>
    </xf>
    <xf numFmtId="44" fontId="4" fillId="0" borderId="23" xfId="0" applyNumberFormat="1" applyFont="1" applyBorder="1" applyAlignment="1" applyProtection="1">
      <alignment/>
      <protection locked="0"/>
    </xf>
    <xf numFmtId="6" fontId="4" fillId="0" borderId="23" xfId="0" applyNumberFormat="1" applyFont="1" applyBorder="1" applyAlignment="1" applyProtection="1">
      <alignment/>
      <protection/>
    </xf>
    <xf numFmtId="165" fontId="4" fillId="0" borderId="23" xfId="0" applyNumberFormat="1" applyFont="1" applyBorder="1" applyAlignment="1" applyProtection="1">
      <alignment/>
      <protection locked="0"/>
    </xf>
    <xf numFmtId="165" fontId="4" fillId="0" borderId="16" xfId="0" applyNumberFormat="1" applyFont="1" applyBorder="1" applyAlignment="1" applyProtection="1">
      <alignment/>
      <protection locked="0"/>
    </xf>
    <xf numFmtId="165" fontId="30" fillId="0" borderId="16" xfId="0" applyNumberFormat="1" applyFont="1" applyBorder="1" applyAlignment="1" applyProtection="1">
      <alignment/>
      <protection locked="0"/>
    </xf>
    <xf numFmtId="0" fontId="4" fillId="0" borderId="0" xfId="57" applyFont="1" applyBorder="1">
      <alignment/>
      <protection/>
    </xf>
    <xf numFmtId="165" fontId="24" fillId="38" borderId="44" xfId="44" applyNumberFormat="1" applyFont="1" applyFill="1" applyBorder="1" applyAlignment="1">
      <alignment/>
    </xf>
    <xf numFmtId="165" fontId="24" fillId="37" borderId="58" xfId="44" applyNumberFormat="1" applyFont="1" applyFill="1" applyBorder="1" applyAlignment="1">
      <alignment/>
    </xf>
    <xf numFmtId="165" fontId="24" fillId="37" borderId="60" xfId="44" applyNumberFormat="1" applyFont="1" applyFill="1" applyBorder="1" applyAlignment="1">
      <alignment/>
    </xf>
    <xf numFmtId="165" fontId="24" fillId="37" borderId="63" xfId="44" applyNumberFormat="1" applyFont="1" applyFill="1" applyBorder="1" applyAlignment="1">
      <alignment/>
    </xf>
    <xf numFmtId="0" fontId="30" fillId="0" borderId="0" xfId="57" applyFont="1" applyBorder="1">
      <alignment/>
      <protection/>
    </xf>
    <xf numFmtId="44" fontId="4" fillId="0" borderId="0" xfId="44" applyFont="1" applyBorder="1" applyAlignment="1">
      <alignment/>
    </xf>
    <xf numFmtId="44" fontId="24" fillId="0" borderId="0" xfId="44" applyNumberFormat="1" applyFont="1" applyFill="1" applyBorder="1" applyAlignment="1">
      <alignment/>
    </xf>
    <xf numFmtId="0" fontId="1" fillId="0" borderId="0" xfId="57" applyBorder="1">
      <alignment/>
      <protection/>
    </xf>
    <xf numFmtId="0" fontId="4" fillId="0" borderId="0" xfId="57" applyFont="1" applyFill="1" applyBorder="1">
      <alignment/>
      <protection/>
    </xf>
    <xf numFmtId="0" fontId="4" fillId="0" borderId="0" xfId="57" applyFont="1" applyFill="1" applyBorder="1" quotePrefix="1">
      <alignment/>
      <protection/>
    </xf>
    <xf numFmtId="176" fontId="7" fillId="37" borderId="66" xfId="42" applyNumberFormat="1" applyFont="1" applyFill="1" applyBorder="1" applyAlignment="1">
      <alignment horizontal="center"/>
    </xf>
    <xf numFmtId="176" fontId="7" fillId="37" borderId="68" xfId="42" applyNumberFormat="1" applyFont="1" applyFill="1" applyBorder="1" applyAlignment="1">
      <alignment horizontal="center"/>
    </xf>
    <xf numFmtId="180" fontId="24" fillId="44" borderId="0" xfId="60" applyNumberFormat="1" applyFont="1" applyFill="1" applyBorder="1" applyAlignment="1">
      <alignment/>
    </xf>
    <xf numFmtId="180" fontId="7" fillId="44" borderId="64" xfId="60" applyNumberFormat="1" applyFont="1" applyFill="1" applyBorder="1" applyAlignment="1">
      <alignment horizontal="center"/>
    </xf>
    <xf numFmtId="1" fontId="24" fillId="37" borderId="62" xfId="57" applyNumberFormat="1" applyFont="1" applyFill="1" applyBorder="1">
      <alignment/>
      <protection/>
    </xf>
    <xf numFmtId="0" fontId="4" fillId="0" borderId="69" xfId="0" applyFont="1" applyBorder="1" applyAlignment="1">
      <alignment/>
    </xf>
    <xf numFmtId="10" fontId="4" fillId="0" borderId="69" xfId="60" applyNumberFormat="1" applyFont="1" applyBorder="1" applyAlignment="1">
      <alignment/>
    </xf>
    <xf numFmtId="10" fontId="30" fillId="0" borderId="70" xfId="60" applyNumberFormat="1" applyFont="1" applyBorder="1" applyAlignment="1">
      <alignment/>
    </xf>
    <xf numFmtId="0" fontId="4" fillId="0" borderId="71" xfId="0" applyFont="1" applyBorder="1" applyAlignment="1">
      <alignment/>
    </xf>
    <xf numFmtId="180" fontId="7" fillId="44" borderId="65" xfId="60" applyNumberFormat="1" applyFont="1" applyFill="1" applyBorder="1" applyAlignment="1">
      <alignment horizontal="center"/>
    </xf>
    <xf numFmtId="1" fontId="24" fillId="44" borderId="59" xfId="57" applyNumberFormat="1" applyFont="1" applyFill="1" applyBorder="1">
      <alignment/>
      <protection/>
    </xf>
    <xf numFmtId="1" fontId="24" fillId="44" borderId="58" xfId="57" applyNumberFormat="1" applyFont="1" applyFill="1" applyBorder="1">
      <alignment/>
      <protection/>
    </xf>
    <xf numFmtId="1" fontId="24" fillId="44" borderId="60" xfId="57" applyNumberFormat="1" applyFont="1" applyFill="1" applyBorder="1">
      <alignment/>
      <protection/>
    </xf>
    <xf numFmtId="180" fontId="24" fillId="44" borderId="61" xfId="60" applyNumberFormat="1" applyFont="1" applyFill="1" applyBorder="1" applyAlignment="1">
      <alignment/>
    </xf>
    <xf numFmtId="180" fontId="24" fillId="44" borderId="63" xfId="60" applyNumberFormat="1" applyFont="1" applyFill="1" applyBorder="1" applyAlignment="1">
      <alignment/>
    </xf>
    <xf numFmtId="180" fontId="7" fillId="44" borderId="67" xfId="60" applyNumberFormat="1" applyFont="1" applyFill="1" applyBorder="1" applyAlignment="1">
      <alignment horizontal="center"/>
    </xf>
    <xf numFmtId="165" fontId="24" fillId="38" borderId="56" xfId="44" applyNumberFormat="1" applyFont="1" applyFill="1" applyBorder="1" applyAlignment="1">
      <alignment/>
    </xf>
    <xf numFmtId="165" fontId="24" fillId="38" borderId="72" xfId="44" applyNumberFormat="1" applyFont="1" applyFill="1" applyBorder="1" applyAlignment="1">
      <alignment/>
    </xf>
    <xf numFmtId="165" fontId="24" fillId="38" borderId="66" xfId="44" applyNumberFormat="1" applyFont="1" applyFill="1" applyBorder="1" applyAlignment="1">
      <alignment/>
    </xf>
    <xf numFmtId="165" fontId="24" fillId="38" borderId="68" xfId="44" applyNumberFormat="1" applyFont="1" applyFill="1" applyBorder="1" applyAlignment="1">
      <alignment/>
    </xf>
    <xf numFmtId="43" fontId="16" fillId="0" borderId="58" xfId="42" applyNumberFormat="1" applyFont="1" applyFill="1" applyBorder="1" applyAlignment="1">
      <alignment/>
    </xf>
    <xf numFmtId="43" fontId="16" fillId="0" borderId="60" xfId="42" applyNumberFormat="1" applyFont="1" applyFill="1" applyBorder="1" applyAlignment="1">
      <alignment/>
    </xf>
    <xf numFmtId="9" fontId="16" fillId="0" borderId="0" xfId="60" applyFont="1" applyFill="1" applyBorder="1" applyAlignment="1">
      <alignment/>
    </xf>
    <xf numFmtId="9" fontId="16" fillId="0" borderId="0" xfId="0" applyNumberFormat="1" applyFont="1" applyFill="1" applyBorder="1" applyAlignment="1">
      <alignment/>
    </xf>
    <xf numFmtId="0" fontId="14" fillId="0" borderId="38" xfId="0" applyFont="1" applyBorder="1" applyAlignment="1">
      <alignment/>
    </xf>
    <xf numFmtId="0" fontId="42" fillId="0" borderId="0" xfId="0" applyFont="1" applyAlignment="1">
      <alignment/>
    </xf>
    <xf numFmtId="165" fontId="24" fillId="38" borderId="61" xfId="44" applyNumberFormat="1" applyFont="1" applyFill="1" applyBorder="1" applyAlignment="1">
      <alignment/>
    </xf>
    <xf numFmtId="165" fontId="24" fillId="37" borderId="67" xfId="44" applyNumberFormat="1" applyFont="1" applyFill="1" applyBorder="1" applyAlignment="1">
      <alignment/>
    </xf>
    <xf numFmtId="16" fontId="15" fillId="0" borderId="61" xfId="0" applyNumberFormat="1" applyFont="1" applyBorder="1" applyAlignment="1">
      <alignment/>
    </xf>
    <xf numFmtId="0" fontId="15" fillId="38" borderId="0" xfId="0" applyFont="1" applyFill="1" applyAlignment="1">
      <alignment wrapText="1"/>
    </xf>
    <xf numFmtId="165" fontId="15" fillId="38" borderId="0" xfId="44" applyNumberFormat="1" applyFont="1" applyFill="1" applyBorder="1" applyAlignment="1">
      <alignment/>
    </xf>
    <xf numFmtId="165" fontId="15" fillId="38" borderId="0" xfId="0" applyNumberFormat="1" applyFont="1" applyFill="1" applyBorder="1" applyAlignment="1">
      <alignment/>
    </xf>
    <xf numFmtId="165" fontId="16" fillId="0" borderId="58" xfId="44" applyNumberFormat="1" applyFont="1" applyBorder="1" applyAlignment="1">
      <alignment/>
    </xf>
    <xf numFmtId="165" fontId="15" fillId="38" borderId="63" xfId="44" applyNumberFormat="1" applyFont="1" applyFill="1" applyBorder="1" applyAlignment="1">
      <alignment/>
    </xf>
    <xf numFmtId="0" fontId="15" fillId="38" borderId="64" xfId="0" applyFont="1" applyFill="1" applyBorder="1" applyAlignment="1">
      <alignment wrapText="1"/>
    </xf>
    <xf numFmtId="44" fontId="15" fillId="38" borderId="64" xfId="44" applyFont="1" applyFill="1" applyBorder="1" applyAlignment="1">
      <alignment/>
    </xf>
    <xf numFmtId="44" fontId="15" fillId="38" borderId="64" xfId="0" applyNumberFormat="1" applyFont="1" applyFill="1" applyBorder="1" applyAlignment="1">
      <alignment/>
    </xf>
    <xf numFmtId="0" fontId="15" fillId="38" borderId="64" xfId="0" applyFont="1" applyFill="1" applyBorder="1" applyAlignment="1">
      <alignment/>
    </xf>
    <xf numFmtId="0" fontId="15" fillId="38" borderId="67" xfId="0" applyFont="1" applyFill="1" applyBorder="1" applyAlignment="1">
      <alignment/>
    </xf>
    <xf numFmtId="0" fontId="15" fillId="38" borderId="58" xfId="0" applyFont="1" applyFill="1" applyBorder="1" applyAlignment="1">
      <alignment wrapText="1"/>
    </xf>
    <xf numFmtId="44" fontId="15" fillId="38" borderId="58" xfId="44" applyFont="1" applyFill="1" applyBorder="1" applyAlignment="1">
      <alignment/>
    </xf>
    <xf numFmtId="44" fontId="15" fillId="38" borderId="58" xfId="0" applyNumberFormat="1" applyFont="1" applyFill="1" applyBorder="1" applyAlignment="1">
      <alignment/>
    </xf>
    <xf numFmtId="0" fontId="15" fillId="38" borderId="60" xfId="0" applyFont="1" applyFill="1" applyBorder="1" applyAlignment="1">
      <alignment/>
    </xf>
    <xf numFmtId="0" fontId="15" fillId="38" borderId="65" xfId="0" applyFont="1" applyFill="1" applyBorder="1" applyAlignment="1">
      <alignment wrapText="1"/>
    </xf>
    <xf numFmtId="165" fontId="15" fillId="38" borderId="64" xfId="44" applyNumberFormat="1" applyFont="1" applyFill="1" applyBorder="1" applyAlignment="1">
      <alignment/>
    </xf>
    <xf numFmtId="165" fontId="15" fillId="38" borderId="63" xfId="0" applyNumberFormat="1" applyFont="1" applyFill="1" applyBorder="1" applyAlignment="1">
      <alignment/>
    </xf>
    <xf numFmtId="165" fontId="15" fillId="38" borderId="63" xfId="42" applyNumberFormat="1" applyFont="1" applyFill="1" applyBorder="1" applyAlignment="1">
      <alignment/>
    </xf>
    <xf numFmtId="0" fontId="15" fillId="38" borderId="59" xfId="0" applyFont="1" applyFill="1" applyBorder="1" applyAlignment="1">
      <alignment/>
    </xf>
    <xf numFmtId="0" fontId="15" fillId="38" borderId="65" xfId="0" applyFont="1" applyFill="1" applyBorder="1" applyAlignment="1">
      <alignment/>
    </xf>
    <xf numFmtId="176" fontId="15" fillId="38" borderId="64" xfId="42" applyNumberFormat="1" applyFont="1" applyFill="1" applyBorder="1" applyAlignment="1">
      <alignment/>
    </xf>
    <xf numFmtId="165" fontId="15" fillId="38" borderId="0" xfId="44" applyNumberFormat="1" applyFont="1" applyFill="1" applyBorder="1" applyAlignment="1">
      <alignment wrapText="1"/>
    </xf>
    <xf numFmtId="44" fontId="15" fillId="38" borderId="0" xfId="44" applyFont="1" applyFill="1" applyAlignment="1">
      <alignment/>
    </xf>
    <xf numFmtId="176" fontId="15" fillId="38" borderId="58" xfId="42" applyNumberFormat="1" applyFont="1" applyFill="1" applyBorder="1" applyAlignment="1">
      <alignment/>
    </xf>
    <xf numFmtId="16" fontId="27" fillId="37" borderId="38" xfId="57" applyNumberFormat="1" applyFont="1" applyFill="1" applyBorder="1" applyAlignment="1">
      <alignment horizontal="center"/>
      <protection/>
    </xf>
    <xf numFmtId="16" fontId="27" fillId="37" borderId="60" xfId="57" applyNumberFormat="1" applyFont="1" applyFill="1" applyBorder="1" applyAlignment="1">
      <alignment horizontal="center"/>
      <protection/>
    </xf>
    <xf numFmtId="6" fontId="4" fillId="48" borderId="23" xfId="0" applyNumberFormat="1" applyFont="1" applyFill="1" applyBorder="1" applyAlignment="1" applyProtection="1">
      <alignment/>
      <protection locked="0"/>
    </xf>
    <xf numFmtId="9" fontId="30" fillId="0" borderId="23" xfId="60" applyFont="1" applyBorder="1" applyAlignment="1" applyProtection="1">
      <alignment/>
      <protection locked="0"/>
    </xf>
    <xf numFmtId="9" fontId="30" fillId="48" borderId="23" xfId="60" applyFont="1" applyFill="1" applyBorder="1" applyAlignment="1" applyProtection="1">
      <alignment/>
      <protection locked="0"/>
    </xf>
    <xf numFmtId="9" fontId="30" fillId="0" borderId="23" xfId="60" applyFont="1" applyBorder="1" applyAlignment="1" applyProtection="1">
      <alignment/>
      <protection/>
    </xf>
    <xf numFmtId="9" fontId="30" fillId="33" borderId="29" xfId="60" applyFont="1" applyFill="1" applyBorder="1" applyAlignment="1" applyProtection="1">
      <alignment/>
      <protection/>
    </xf>
    <xf numFmtId="9" fontId="30" fillId="0" borderId="16" xfId="60" applyFont="1" applyBorder="1" applyAlignment="1" applyProtection="1">
      <alignment/>
      <protection/>
    </xf>
    <xf numFmtId="9" fontId="30" fillId="33" borderId="26" xfId="60" applyFont="1" applyFill="1" applyBorder="1" applyAlignment="1" applyProtection="1">
      <alignment/>
      <protection/>
    </xf>
    <xf numFmtId="9" fontId="30" fillId="0" borderId="16" xfId="60" applyFont="1" applyBorder="1" applyAlignment="1" applyProtection="1">
      <alignment/>
      <protection locked="0"/>
    </xf>
    <xf numFmtId="6" fontId="15" fillId="38" borderId="0" xfId="0" applyNumberFormat="1" applyFont="1" applyFill="1" applyBorder="1" applyAlignment="1">
      <alignment/>
    </xf>
    <xf numFmtId="0" fontId="15" fillId="49" borderId="61" xfId="0" applyFont="1" applyFill="1" applyBorder="1" applyAlignment="1">
      <alignment/>
    </xf>
    <xf numFmtId="0" fontId="15" fillId="49" borderId="0" xfId="0" applyFont="1" applyFill="1" applyBorder="1" applyAlignment="1">
      <alignment wrapText="1"/>
    </xf>
    <xf numFmtId="165" fontId="15" fillId="49" borderId="0" xfId="44" applyNumberFormat="1" applyFont="1" applyFill="1" applyBorder="1" applyAlignment="1">
      <alignment/>
    </xf>
    <xf numFmtId="165" fontId="15" fillId="49" borderId="0" xfId="0" applyNumberFormat="1" applyFont="1" applyFill="1" applyBorder="1" applyAlignment="1">
      <alignment/>
    </xf>
    <xf numFmtId="0" fontId="15" fillId="49" borderId="63" xfId="0" applyFont="1" applyFill="1" applyBorder="1" applyAlignment="1">
      <alignment/>
    </xf>
    <xf numFmtId="0" fontId="15" fillId="49" borderId="0" xfId="0" applyFont="1" applyFill="1" applyBorder="1" applyAlignment="1">
      <alignment/>
    </xf>
    <xf numFmtId="0" fontId="15" fillId="50" borderId="0" xfId="0" applyFont="1" applyFill="1" applyAlignment="1">
      <alignment wrapText="1"/>
    </xf>
    <xf numFmtId="0" fontId="15" fillId="50" borderId="59" xfId="0" applyFont="1" applyFill="1" applyBorder="1" applyAlignment="1">
      <alignment wrapText="1"/>
    </xf>
    <xf numFmtId="0" fontId="15" fillId="50" borderId="61" xfId="0" applyFont="1" applyFill="1" applyBorder="1" applyAlignment="1">
      <alignment wrapText="1"/>
    </xf>
    <xf numFmtId="0" fontId="15" fillId="50" borderId="0" xfId="0" applyFont="1" applyFill="1" applyBorder="1" applyAlignment="1">
      <alignment wrapText="1"/>
    </xf>
    <xf numFmtId="165" fontId="15" fillId="50" borderId="0" xfId="44" applyNumberFormat="1" applyFont="1" applyFill="1" applyBorder="1" applyAlignment="1">
      <alignment wrapText="1"/>
    </xf>
    <xf numFmtId="165" fontId="15" fillId="50" borderId="0" xfId="44" applyNumberFormat="1" applyFont="1" applyFill="1" applyBorder="1" applyAlignment="1">
      <alignment/>
    </xf>
    <xf numFmtId="0" fontId="8" fillId="0" borderId="70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2" fillId="0" borderId="70" xfId="0" applyFont="1" applyBorder="1" applyAlignment="1" applyProtection="1">
      <alignment horizontal="center"/>
      <protection locked="0"/>
    </xf>
    <xf numFmtId="0" fontId="2" fillId="0" borderId="71" xfId="0" applyFont="1" applyBorder="1" applyAlignment="1" applyProtection="1">
      <alignment horizontal="center"/>
      <protection locked="0"/>
    </xf>
    <xf numFmtId="0" fontId="30" fillId="0" borderId="15" xfId="0" applyFont="1" applyBorder="1" applyAlignment="1">
      <alignment horizontal="center"/>
    </xf>
    <xf numFmtId="0" fontId="30" fillId="0" borderId="70" xfId="0" applyFont="1" applyBorder="1" applyAlignment="1">
      <alignment horizontal="center" vertical="center" wrapText="1"/>
    </xf>
    <xf numFmtId="0" fontId="30" fillId="0" borderId="69" xfId="0" applyFont="1" applyBorder="1" applyAlignment="1">
      <alignment horizontal="center" vertical="center"/>
    </xf>
    <xf numFmtId="0" fontId="30" fillId="0" borderId="71" xfId="0" applyFont="1" applyBorder="1" applyAlignment="1">
      <alignment horizontal="center" vertical="center"/>
    </xf>
    <xf numFmtId="0" fontId="30" fillId="0" borderId="69" xfId="0" applyFont="1" applyBorder="1" applyAlignment="1">
      <alignment horizontal="center" vertical="center" wrapText="1"/>
    </xf>
    <xf numFmtId="0" fontId="30" fillId="0" borderId="71" xfId="0" applyFont="1" applyBorder="1" applyAlignment="1">
      <alignment horizontal="center" vertical="center" wrapText="1"/>
    </xf>
    <xf numFmtId="0" fontId="32" fillId="39" borderId="59" xfId="0" applyFont="1" applyFill="1" applyBorder="1" applyAlignment="1">
      <alignment horizontal="center"/>
    </xf>
    <xf numFmtId="0" fontId="32" fillId="39" borderId="58" xfId="0" applyFont="1" applyFill="1" applyBorder="1" applyAlignment="1">
      <alignment horizontal="center"/>
    </xf>
    <xf numFmtId="0" fontId="32" fillId="39" borderId="60" xfId="0" applyFont="1" applyFill="1" applyBorder="1" applyAlignment="1">
      <alignment horizontal="center"/>
    </xf>
    <xf numFmtId="0" fontId="32" fillId="42" borderId="58" xfId="0" applyFont="1" applyFill="1" applyBorder="1" applyAlignment="1">
      <alignment horizontal="center"/>
    </xf>
    <xf numFmtId="0" fontId="32" fillId="42" borderId="60" xfId="0" applyFont="1" applyFill="1" applyBorder="1" applyAlignment="1">
      <alignment horizontal="center"/>
    </xf>
    <xf numFmtId="0" fontId="32" fillId="43" borderId="58" xfId="0" applyFont="1" applyFill="1" applyBorder="1" applyAlignment="1">
      <alignment horizontal="center"/>
    </xf>
    <xf numFmtId="0" fontId="32" fillId="43" borderId="60" xfId="0" applyFont="1" applyFill="1" applyBorder="1" applyAlignment="1">
      <alignment horizontal="center"/>
    </xf>
    <xf numFmtId="0" fontId="32" fillId="44" borderId="58" xfId="0" applyFont="1" applyFill="1" applyBorder="1" applyAlignment="1">
      <alignment horizontal="center"/>
    </xf>
    <xf numFmtId="0" fontId="32" fillId="44" borderId="60" xfId="0" applyFont="1" applyFill="1" applyBorder="1" applyAlignment="1">
      <alignment horizontal="center"/>
    </xf>
    <xf numFmtId="0" fontId="32" fillId="41" borderId="58" xfId="0" applyFont="1" applyFill="1" applyBorder="1" applyAlignment="1">
      <alignment horizontal="center"/>
    </xf>
    <xf numFmtId="0" fontId="32" fillId="41" borderId="60" xfId="0" applyFont="1" applyFill="1" applyBorder="1" applyAlignment="1">
      <alignment horizontal="center"/>
    </xf>
    <xf numFmtId="0" fontId="32" fillId="40" borderId="58" xfId="0" applyFont="1" applyFill="1" applyBorder="1" applyAlignment="1">
      <alignment horizontal="center"/>
    </xf>
    <xf numFmtId="0" fontId="32" fillId="40" borderId="60" xfId="0" applyFont="1" applyFill="1" applyBorder="1" applyAlignment="1">
      <alignment horizontal="center"/>
    </xf>
    <xf numFmtId="0" fontId="32" fillId="46" borderId="58" xfId="0" applyFont="1" applyFill="1" applyBorder="1" applyAlignment="1">
      <alignment horizontal="center"/>
    </xf>
    <xf numFmtId="0" fontId="32" fillId="46" borderId="60" xfId="0" applyFont="1" applyFill="1" applyBorder="1" applyAlignment="1">
      <alignment horizontal="center"/>
    </xf>
    <xf numFmtId="0" fontId="32" fillId="47" borderId="58" xfId="0" applyFont="1" applyFill="1" applyBorder="1" applyAlignment="1">
      <alignment horizontal="center"/>
    </xf>
    <xf numFmtId="0" fontId="32" fillId="47" borderId="60" xfId="0" applyFont="1" applyFill="1" applyBorder="1" applyAlignment="1">
      <alignment horizontal="center"/>
    </xf>
    <xf numFmtId="0" fontId="32" fillId="39" borderId="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ert Corona 09-10 Budget with SSC Rate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osborn\Desktop\CFO\Budgets\2012-13\Nelson%20-%20Five%20Year%20Budget%202012.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dget Submitted"/>
      <sheetName val="Control"/>
      <sheetName val="Budget"/>
      <sheetName val="YoY Budget"/>
      <sheetName val="Sched A-Revenue"/>
      <sheetName val="Sched B-Instruction"/>
      <sheetName val="Sched C-Support Services"/>
      <sheetName val="Sched D-NonInstructional"/>
      <sheetName val="Detail"/>
      <sheetName val="Revenue"/>
      <sheetName val="Sheet1"/>
      <sheetName val="Schedule A - PY"/>
      <sheetName val="Schedule B - PY"/>
      <sheetName val="Schedule C - PY"/>
      <sheetName val="Schedule D - PY"/>
      <sheetName val="Yoy Budget Consolidated"/>
      <sheetName val="11-12 Cash Flow"/>
    </sheetNames>
    <sheetDataSet>
      <sheetData sheetId="7">
        <row r="33">
          <cell r="G33">
            <v>0</v>
          </cell>
          <cell r="H33">
            <v>0</v>
          </cell>
        </row>
        <row r="48">
          <cell r="G48">
            <v>0</v>
          </cell>
          <cell r="H4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67"/>
  <sheetViews>
    <sheetView defaultGridColor="0" zoomScale="75" zoomScaleNormal="75" zoomScalePageLayoutView="0" colorId="22" workbookViewId="0" topLeftCell="A1">
      <selection activeCell="H55" sqref="H55"/>
    </sheetView>
  </sheetViews>
  <sheetFormatPr defaultColWidth="11.4453125" defaultRowHeight="15"/>
  <cols>
    <col min="1" max="1" width="1.77734375" style="1" customWidth="1"/>
    <col min="2" max="2" width="4.77734375" style="1" customWidth="1"/>
    <col min="3" max="3" width="6.77734375" style="1" customWidth="1"/>
    <col min="4" max="4" width="40.77734375" style="1" customWidth="1"/>
    <col min="5" max="5" width="13.88671875" style="1" bestFit="1" customWidth="1"/>
    <col min="6" max="6" width="11.4453125" style="1" customWidth="1"/>
    <col min="7" max="10" width="15.77734375" style="1" customWidth="1"/>
    <col min="11" max="11" width="2.77734375" style="1" customWidth="1"/>
    <col min="12" max="12" width="15.77734375" style="1" customWidth="1"/>
    <col min="13" max="16384" width="11.4453125" style="1" customWidth="1"/>
  </cols>
  <sheetData>
    <row r="1" spans="2:4" ht="15">
      <c r="B1" s="2"/>
      <c r="D1" s="3"/>
    </row>
    <row r="2" spans="1:10" ht="21.75" customHeigh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</row>
    <row r="3" spans="1:10" ht="19.5" customHeight="1" thickBot="1">
      <c r="A3" s="6" t="s">
        <v>133</v>
      </c>
      <c r="B3" s="5"/>
      <c r="C3" s="5"/>
      <c r="D3" s="5"/>
      <c r="E3" s="5"/>
      <c r="F3" s="5"/>
      <c r="G3" s="5"/>
      <c r="H3" s="5"/>
      <c r="I3" s="5"/>
      <c r="J3" s="5"/>
    </row>
    <row r="4" spans="1:10" ht="15.75" thickTop="1">
      <c r="A4" s="7" t="s">
        <v>1</v>
      </c>
      <c r="D4" s="554" t="s">
        <v>136</v>
      </c>
      <c r="I4" s="8" t="s">
        <v>127</v>
      </c>
      <c r="J4" s="9"/>
    </row>
    <row r="5" spans="2:10" ht="16.5" customHeight="1" thickBot="1">
      <c r="B5" s="1" t="s">
        <v>2</v>
      </c>
      <c r="D5" s="555"/>
      <c r="I5" s="10" t="s">
        <v>131</v>
      </c>
      <c r="J5" s="11"/>
    </row>
    <row r="6" spans="1:10" ht="15.75" thickTop="1">
      <c r="A6" s="12"/>
      <c r="B6" s="13"/>
      <c r="C6" s="13"/>
      <c r="D6" s="14"/>
      <c r="E6" s="13"/>
      <c r="F6" s="14"/>
      <c r="G6" s="12"/>
      <c r="H6" s="14"/>
      <c r="I6" s="12"/>
      <c r="J6" s="14"/>
    </row>
    <row r="7" spans="1:12" ht="15.75">
      <c r="A7" s="15"/>
      <c r="D7" s="16"/>
      <c r="E7" s="17" t="s">
        <v>3</v>
      </c>
      <c r="F7" s="18"/>
      <c r="G7" s="19" t="s">
        <v>4</v>
      </c>
      <c r="H7" s="20"/>
      <c r="I7" s="19" t="s">
        <v>5</v>
      </c>
      <c r="J7" s="21"/>
      <c r="L7" s="7" t="s">
        <v>6</v>
      </c>
    </row>
    <row r="8" spans="1:12" ht="13.5" customHeight="1" thickBot="1">
      <c r="A8" s="19" t="s">
        <v>7</v>
      </c>
      <c r="B8" s="5"/>
      <c r="C8" s="5"/>
      <c r="D8" s="18"/>
      <c r="F8" s="16"/>
      <c r="G8" s="22"/>
      <c r="H8" s="23"/>
      <c r="I8" s="22"/>
      <c r="J8" s="23"/>
      <c r="L8" s="24" t="s">
        <v>8</v>
      </c>
    </row>
    <row r="9" spans="1:12" ht="15.75" customHeight="1" thickTop="1">
      <c r="A9" s="15"/>
      <c r="D9" s="16"/>
      <c r="E9" s="25" t="s">
        <v>9</v>
      </c>
      <c r="F9" s="26" t="s">
        <v>10</v>
      </c>
      <c r="G9" s="551" t="s">
        <v>134</v>
      </c>
      <c r="H9" s="551" t="s">
        <v>135</v>
      </c>
      <c r="I9" s="551" t="s">
        <v>134</v>
      </c>
      <c r="J9" s="551" t="s">
        <v>135</v>
      </c>
      <c r="L9" s="24" t="s">
        <v>11</v>
      </c>
    </row>
    <row r="10" spans="1:12" ht="15" customHeight="1">
      <c r="A10" s="15"/>
      <c r="D10" s="16"/>
      <c r="E10" s="27" t="s">
        <v>12</v>
      </c>
      <c r="F10" s="28" t="s">
        <v>13</v>
      </c>
      <c r="G10" s="552"/>
      <c r="H10" s="552" t="s">
        <v>132</v>
      </c>
      <c r="I10" s="552"/>
      <c r="J10" s="552" t="s">
        <v>132</v>
      </c>
      <c r="L10" s="24" t="s">
        <v>14</v>
      </c>
    </row>
    <row r="11" spans="1:12" ht="15.75" customHeight="1" thickBot="1">
      <c r="A11" s="22"/>
      <c r="B11" s="29"/>
      <c r="C11" s="29"/>
      <c r="D11" s="23"/>
      <c r="E11" s="30" t="s">
        <v>15</v>
      </c>
      <c r="F11" s="31" t="s">
        <v>15</v>
      </c>
      <c r="G11" s="553"/>
      <c r="H11" s="553"/>
      <c r="I11" s="553"/>
      <c r="J11" s="553"/>
      <c r="L11" s="24" t="s">
        <v>16</v>
      </c>
    </row>
    <row r="12" spans="1:10" ht="21.75" customHeight="1" thickTop="1">
      <c r="A12" s="32" t="s">
        <v>17</v>
      </c>
      <c r="B12" s="5"/>
      <c r="C12" s="5"/>
      <c r="D12" s="18"/>
      <c r="E12" s="33"/>
      <c r="F12" s="16"/>
      <c r="G12" s="16"/>
      <c r="H12" s="34"/>
      <c r="I12" s="34"/>
      <c r="J12" s="34"/>
    </row>
    <row r="13" spans="1:12" ht="16.5" customHeight="1">
      <c r="A13" s="15"/>
      <c r="B13" s="35" t="s">
        <v>18</v>
      </c>
      <c r="D13" s="16"/>
      <c r="E13" s="36" t="s">
        <v>19</v>
      </c>
      <c r="F13" s="37" t="s">
        <v>20</v>
      </c>
      <c r="G13" s="67"/>
      <c r="H13" s="67"/>
      <c r="I13" s="67"/>
      <c r="J13" s="67"/>
      <c r="L13" s="1" t="s">
        <v>21</v>
      </c>
    </row>
    <row r="14" spans="1:12" ht="16.5" customHeight="1">
      <c r="A14" s="15"/>
      <c r="B14" s="35" t="s">
        <v>126</v>
      </c>
      <c r="D14" s="16"/>
      <c r="E14" s="36" t="s">
        <v>22</v>
      </c>
      <c r="F14" s="37" t="s">
        <v>23</v>
      </c>
      <c r="G14" s="67"/>
      <c r="H14" s="67"/>
      <c r="I14" s="67"/>
      <c r="J14" s="67"/>
      <c r="L14" s="1" t="s">
        <v>21</v>
      </c>
    </row>
    <row r="15" spans="1:10" ht="16.5" customHeight="1">
      <c r="A15" s="15"/>
      <c r="B15" s="35" t="s">
        <v>128</v>
      </c>
      <c r="D15" s="16"/>
      <c r="E15" s="36" t="s">
        <v>22</v>
      </c>
      <c r="F15" s="37" t="s">
        <v>24</v>
      </c>
      <c r="G15" s="67"/>
      <c r="H15" s="67">
        <f>Revenue!B9*Revenue!B12</f>
        <v>2975000</v>
      </c>
      <c r="I15" s="67"/>
      <c r="J15" s="67"/>
    </row>
    <row r="16" spans="1:10" ht="16.5" customHeight="1">
      <c r="A16" s="15"/>
      <c r="B16" s="35" t="s">
        <v>129</v>
      </c>
      <c r="D16" s="16"/>
      <c r="E16" s="36" t="s">
        <v>22</v>
      </c>
      <c r="F16" s="37" t="s">
        <v>25</v>
      </c>
      <c r="G16" s="67"/>
      <c r="H16" s="92">
        <f>Revenue!B42</f>
        <v>263375</v>
      </c>
      <c r="I16" s="67"/>
      <c r="J16" s="67"/>
    </row>
    <row r="17" spans="1:12" ht="16.5" customHeight="1" thickBot="1">
      <c r="A17" s="15"/>
      <c r="B17" s="35" t="s">
        <v>26</v>
      </c>
      <c r="D17" s="16"/>
      <c r="E17" s="39" t="s">
        <v>27</v>
      </c>
      <c r="F17" s="40" t="s">
        <v>28</v>
      </c>
      <c r="G17" s="69"/>
      <c r="H17" s="87"/>
      <c r="I17" s="69"/>
      <c r="J17" s="87">
        <f>Revenue!D15+Revenue!D18+Revenue!D21+Revenue!D24+Revenue!B27+Revenue!B30+Revenue!B39</f>
        <v>1320755.5</v>
      </c>
      <c r="L17" s="1" t="s">
        <v>21</v>
      </c>
    </row>
    <row r="18" spans="1:12" ht="16.5" customHeight="1" thickBot="1">
      <c r="A18" s="41"/>
      <c r="B18" s="42"/>
      <c r="C18" s="43" t="s">
        <v>29</v>
      </c>
      <c r="D18" s="44"/>
      <c r="E18" s="45"/>
      <c r="F18" s="54" t="s">
        <v>30</v>
      </c>
      <c r="G18" s="63">
        <f>SUM(G13:G17)</f>
        <v>0</v>
      </c>
      <c r="H18" s="63">
        <f>SUM(H13:H17)</f>
        <v>3238375</v>
      </c>
      <c r="I18" s="63">
        <f>SUM(I13:I17)</f>
        <v>0</v>
      </c>
      <c r="J18" s="63">
        <f>SUM(J13:J17)</f>
        <v>1320755.5</v>
      </c>
      <c r="L18" s="1" t="s">
        <v>31</v>
      </c>
    </row>
    <row r="19" spans="1:12" ht="24.75" customHeight="1">
      <c r="A19" s="15"/>
      <c r="B19" s="35" t="s">
        <v>32</v>
      </c>
      <c r="D19" s="16"/>
      <c r="E19" s="36" t="s">
        <v>33</v>
      </c>
      <c r="F19" s="37" t="s">
        <v>34</v>
      </c>
      <c r="G19" s="67"/>
      <c r="H19" s="67"/>
      <c r="I19" s="67"/>
      <c r="J19" s="92">
        <f>Revenue!B36+Revenue!B33</f>
        <v>72325.12</v>
      </c>
      <c r="L19" s="1" t="s">
        <v>21</v>
      </c>
    </row>
    <row r="20" spans="1:10" ht="6.75" customHeight="1" thickBot="1">
      <c r="A20" s="15"/>
      <c r="B20" s="35"/>
      <c r="D20" s="16"/>
      <c r="E20" s="46"/>
      <c r="F20" s="38"/>
      <c r="G20" s="70"/>
      <c r="H20" s="73"/>
      <c r="I20" s="73"/>
      <c r="J20" s="73"/>
    </row>
    <row r="21" spans="1:12" ht="17.25" thickBot="1" thickTop="1">
      <c r="A21" s="60"/>
      <c r="B21" s="55" t="s">
        <v>35</v>
      </c>
      <c r="C21" s="56"/>
      <c r="D21" s="57"/>
      <c r="E21" s="58"/>
      <c r="F21" s="59" t="s">
        <v>36</v>
      </c>
      <c r="G21" s="64">
        <f>G18+G19</f>
        <v>0</v>
      </c>
      <c r="H21" s="64">
        <f>H18+H19</f>
        <v>3238375</v>
      </c>
      <c r="I21" s="64">
        <f>I18+I19</f>
        <v>0</v>
      </c>
      <c r="J21" s="64">
        <f>J18+J19</f>
        <v>1393080.62</v>
      </c>
      <c r="L21" s="1" t="s">
        <v>37</v>
      </c>
    </row>
    <row r="22" spans="1:10" ht="21.75" customHeight="1" thickTop="1">
      <c r="A22" s="32" t="s">
        <v>38</v>
      </c>
      <c r="B22" s="5"/>
      <c r="C22" s="5"/>
      <c r="D22" s="18"/>
      <c r="E22" s="33"/>
      <c r="F22" s="16"/>
      <c r="G22" s="68"/>
      <c r="H22" s="68"/>
      <c r="I22" s="68"/>
      <c r="J22" s="68"/>
    </row>
    <row r="23" spans="1:10" ht="19.5" customHeight="1">
      <c r="A23" s="15"/>
      <c r="B23" s="47" t="s">
        <v>39</v>
      </c>
      <c r="C23" s="35"/>
      <c r="D23" s="48"/>
      <c r="E23" s="33"/>
      <c r="F23" s="16"/>
      <c r="G23" s="71"/>
      <c r="H23" s="68"/>
      <c r="I23" s="68"/>
      <c r="J23" s="68"/>
    </row>
    <row r="24" spans="1:12" ht="16.5" customHeight="1">
      <c r="A24" s="15"/>
      <c r="B24" s="35"/>
      <c r="C24" s="35" t="s">
        <v>40</v>
      </c>
      <c r="D24" s="48"/>
      <c r="E24" s="36" t="s">
        <v>41</v>
      </c>
      <c r="F24" s="37" t="s">
        <v>42</v>
      </c>
      <c r="G24" s="67"/>
      <c r="H24" s="92">
        <f>Detail!I36</f>
        <v>1017313.9199999997</v>
      </c>
      <c r="I24" s="67"/>
      <c r="J24" s="92">
        <f>Detail!J36</f>
        <v>551690.66</v>
      </c>
      <c r="L24" s="1" t="s">
        <v>21</v>
      </c>
    </row>
    <row r="25" spans="1:12" ht="16.5" customHeight="1">
      <c r="A25" s="15"/>
      <c r="B25" s="35"/>
      <c r="C25" s="35" t="s">
        <v>43</v>
      </c>
      <c r="D25" s="48"/>
      <c r="E25" s="36" t="s">
        <v>44</v>
      </c>
      <c r="F25" s="37" t="s">
        <v>45</v>
      </c>
      <c r="G25" s="67"/>
      <c r="H25" s="92">
        <f>Detail!I45</f>
        <v>92728.32</v>
      </c>
      <c r="I25" s="67"/>
      <c r="J25" s="92">
        <f>Detail!J45</f>
        <v>110357.78</v>
      </c>
      <c r="L25" s="1" t="s">
        <v>21</v>
      </c>
    </row>
    <row r="26" spans="1:12" ht="16.5" customHeight="1">
      <c r="A26" s="15"/>
      <c r="B26" s="35"/>
      <c r="C26" s="35" t="s">
        <v>46</v>
      </c>
      <c r="D26" s="48"/>
      <c r="E26" s="36" t="s">
        <v>47</v>
      </c>
      <c r="F26" s="37" t="s">
        <v>48</v>
      </c>
      <c r="G26" s="67"/>
      <c r="H26" s="67">
        <v>0</v>
      </c>
      <c r="I26" s="67"/>
      <c r="J26" s="67">
        <v>0</v>
      </c>
      <c r="L26" s="1" t="s">
        <v>21</v>
      </c>
    </row>
    <row r="27" spans="1:12" ht="16.5" customHeight="1">
      <c r="A27" s="15"/>
      <c r="B27" s="35"/>
      <c r="C27" s="35" t="s">
        <v>130</v>
      </c>
      <c r="D27" s="48"/>
      <c r="E27" s="36" t="s">
        <v>49</v>
      </c>
      <c r="F27" s="37" t="s">
        <v>50</v>
      </c>
      <c r="G27" s="67"/>
      <c r="H27" s="92">
        <f>Detail!I56</f>
        <v>177873.06300000002</v>
      </c>
      <c r="I27" s="67"/>
      <c r="J27" s="92">
        <f>Detail!J56</f>
        <v>36633.66</v>
      </c>
      <c r="L27" s="1" t="s">
        <v>21</v>
      </c>
    </row>
    <row r="28" spans="1:12" ht="16.5" customHeight="1">
      <c r="A28" s="15"/>
      <c r="B28" s="35"/>
      <c r="C28" s="35" t="s">
        <v>51</v>
      </c>
      <c r="D28" s="48"/>
      <c r="E28" s="36" t="s">
        <v>52</v>
      </c>
      <c r="F28" s="37" t="s">
        <v>53</v>
      </c>
      <c r="G28" s="67"/>
      <c r="H28" s="92">
        <f>Detail!I61</f>
        <v>0</v>
      </c>
      <c r="I28" s="67"/>
      <c r="J28" s="92">
        <f>Detail!J61</f>
        <v>50000</v>
      </c>
      <c r="L28" s="1" t="s">
        <v>21</v>
      </c>
    </row>
    <row r="29" spans="1:12" ht="16.5" customHeight="1" thickBot="1">
      <c r="A29" s="15"/>
      <c r="B29" s="35"/>
      <c r="C29" s="35" t="s">
        <v>54</v>
      </c>
      <c r="D29" s="48"/>
      <c r="E29" s="36" t="s">
        <v>55</v>
      </c>
      <c r="F29" s="37" t="s">
        <v>56</v>
      </c>
      <c r="G29" s="67"/>
      <c r="H29" s="67">
        <v>0</v>
      </c>
      <c r="I29" s="67"/>
      <c r="J29" s="67">
        <v>0</v>
      </c>
      <c r="L29" s="1" t="s">
        <v>21</v>
      </c>
    </row>
    <row r="30" spans="1:12" ht="16.5" customHeight="1" thickBot="1">
      <c r="A30" s="41"/>
      <c r="B30" s="43"/>
      <c r="C30" s="43"/>
      <c r="D30" s="49" t="s">
        <v>57</v>
      </c>
      <c r="E30" s="45"/>
      <c r="F30" s="54" t="s">
        <v>58</v>
      </c>
      <c r="G30" s="63">
        <f>SUM(G24:G29)</f>
        <v>0</v>
      </c>
      <c r="H30" s="63">
        <f>SUM(H24:H29)</f>
        <v>1287915.3029999998</v>
      </c>
      <c r="I30" s="63">
        <f>SUM(I24:I29)</f>
        <v>0</v>
      </c>
      <c r="J30" s="63">
        <f>SUM(J24:J29)</f>
        <v>748682.1000000001</v>
      </c>
      <c r="L30" s="1" t="s">
        <v>31</v>
      </c>
    </row>
    <row r="31" spans="1:10" ht="19.5" customHeight="1">
      <c r="A31" s="15"/>
      <c r="B31" s="47" t="s">
        <v>59</v>
      </c>
      <c r="D31" s="16"/>
      <c r="E31" s="33"/>
      <c r="F31" s="16"/>
      <c r="G31" s="62"/>
      <c r="H31" s="68"/>
      <c r="I31" s="68"/>
      <c r="J31" s="68"/>
    </row>
    <row r="32" spans="1:12" ht="16.5" customHeight="1">
      <c r="A32" s="15"/>
      <c r="C32" s="35" t="s">
        <v>60</v>
      </c>
      <c r="D32" s="48"/>
      <c r="E32" s="36" t="s">
        <v>61</v>
      </c>
      <c r="F32" s="37" t="s">
        <v>62</v>
      </c>
      <c r="G32" s="67"/>
      <c r="H32" s="92">
        <f>Detail!I75</f>
        <v>96937.6</v>
      </c>
      <c r="I32" s="67"/>
      <c r="J32" s="92">
        <f>Detail!J75</f>
        <v>206708.90666666665</v>
      </c>
      <c r="L32" s="1" t="s">
        <v>21</v>
      </c>
    </row>
    <row r="33" spans="1:12" ht="16.5" customHeight="1">
      <c r="A33" s="15"/>
      <c r="C33" s="35" t="s">
        <v>63</v>
      </c>
      <c r="D33" s="48"/>
      <c r="E33" s="36" t="s">
        <v>64</v>
      </c>
      <c r="F33" s="37" t="s">
        <v>65</v>
      </c>
      <c r="G33" s="67"/>
      <c r="H33" s="92">
        <f>Detail!I84</f>
        <v>0</v>
      </c>
      <c r="I33" s="67"/>
      <c r="J33" s="92">
        <f>Detail!J84</f>
        <v>228257.92</v>
      </c>
      <c r="L33" s="1" t="s">
        <v>21</v>
      </c>
    </row>
    <row r="34" spans="1:12" ht="16.5" customHeight="1">
      <c r="A34" s="15"/>
      <c r="C34" s="35" t="s">
        <v>66</v>
      </c>
      <c r="D34" s="48"/>
      <c r="E34" s="36" t="s">
        <v>67</v>
      </c>
      <c r="F34" s="37" t="s">
        <v>68</v>
      </c>
      <c r="G34" s="67"/>
      <c r="H34" s="92">
        <f>Detail!I93</f>
        <v>95360</v>
      </c>
      <c r="I34" s="67"/>
      <c r="J34" s="92">
        <f>Detail!J93</f>
        <v>24000</v>
      </c>
      <c r="L34" s="1" t="s">
        <v>21</v>
      </c>
    </row>
    <row r="35" spans="1:12" ht="16.5" customHeight="1">
      <c r="A35" s="15"/>
      <c r="C35" s="35" t="s">
        <v>69</v>
      </c>
      <c r="D35" s="48"/>
      <c r="E35" s="36" t="s">
        <v>70</v>
      </c>
      <c r="F35" s="37" t="s">
        <v>71</v>
      </c>
      <c r="G35" s="67"/>
      <c r="H35" s="92">
        <f>Detail!I99</f>
        <v>203568.64</v>
      </c>
      <c r="I35" s="67"/>
      <c r="J35" s="92">
        <f>Detail!J99</f>
        <v>0</v>
      </c>
      <c r="L35" s="1" t="s">
        <v>21</v>
      </c>
    </row>
    <row r="36" spans="1:12" ht="16.5" customHeight="1">
      <c r="A36" s="15"/>
      <c r="C36" s="35" t="s">
        <v>72</v>
      </c>
      <c r="D36" s="48"/>
      <c r="E36" s="36" t="s">
        <v>73</v>
      </c>
      <c r="F36" s="37" t="s">
        <v>74</v>
      </c>
      <c r="G36" s="67"/>
      <c r="H36" s="92">
        <f>Detail!I104</f>
        <v>156800</v>
      </c>
      <c r="I36" s="67"/>
      <c r="J36" s="92">
        <f>Detail!J104</f>
        <v>0</v>
      </c>
      <c r="L36" s="1" t="s">
        <v>21</v>
      </c>
    </row>
    <row r="37" spans="1:12" ht="16.5" customHeight="1">
      <c r="A37" s="15"/>
      <c r="C37" s="35" t="s">
        <v>75</v>
      </c>
      <c r="D37" s="48"/>
      <c r="E37" s="36" t="s">
        <v>76</v>
      </c>
      <c r="F37" s="37" t="s">
        <v>77</v>
      </c>
      <c r="G37" s="67"/>
      <c r="H37" s="92">
        <f>Detail!I121</f>
        <v>330829.4</v>
      </c>
      <c r="I37" s="67"/>
      <c r="J37" s="67">
        <f>Detail!J121</f>
        <v>0</v>
      </c>
      <c r="L37" s="1" t="s">
        <v>21</v>
      </c>
    </row>
    <row r="38" spans="1:12" ht="16.5" customHeight="1">
      <c r="A38" s="15"/>
      <c r="C38" s="35" t="s">
        <v>78</v>
      </c>
      <c r="D38" s="48"/>
      <c r="E38" s="36" t="s">
        <v>79</v>
      </c>
      <c r="F38" s="37" t="s">
        <v>80</v>
      </c>
      <c r="G38" s="67"/>
      <c r="H38" s="92">
        <f>Detail!I124</f>
        <v>182875</v>
      </c>
      <c r="I38" s="67"/>
      <c r="J38" s="67">
        <f>Detail!J124</f>
        <v>0</v>
      </c>
      <c r="L38" s="1" t="s">
        <v>21</v>
      </c>
    </row>
    <row r="39" spans="1:12" ht="16.5" customHeight="1" thickBot="1">
      <c r="A39" s="15"/>
      <c r="C39" s="35" t="s">
        <v>81</v>
      </c>
      <c r="D39" s="48"/>
      <c r="E39" s="39" t="s">
        <v>82</v>
      </c>
      <c r="F39" s="40" t="s">
        <v>83</v>
      </c>
      <c r="G39" s="69"/>
      <c r="H39" s="87">
        <f>Detail!I132</f>
        <v>337500</v>
      </c>
      <c r="I39" s="69"/>
      <c r="J39" s="69">
        <f>Detail!J132</f>
        <v>0</v>
      </c>
      <c r="L39" s="1" t="s">
        <v>21</v>
      </c>
    </row>
    <row r="40" spans="1:12" ht="16.5" customHeight="1" thickBot="1">
      <c r="A40" s="41"/>
      <c r="B40" s="42"/>
      <c r="C40" s="43"/>
      <c r="D40" s="49" t="s">
        <v>84</v>
      </c>
      <c r="E40" s="45"/>
      <c r="F40" s="54" t="s">
        <v>85</v>
      </c>
      <c r="G40" s="63">
        <f>SUM(G32:G39)</f>
        <v>0</v>
      </c>
      <c r="H40" s="63">
        <f>SUM(H32:H39)</f>
        <v>1403870.6400000001</v>
      </c>
      <c r="I40" s="63">
        <f>SUM(I32:I39)</f>
        <v>0</v>
      </c>
      <c r="J40" s="63">
        <f>SUM(J32:J39)</f>
        <v>458966.82666666666</v>
      </c>
      <c r="L40" s="1" t="s">
        <v>31</v>
      </c>
    </row>
    <row r="41" spans="1:10" ht="24.75" customHeight="1">
      <c r="A41" s="15"/>
      <c r="B41" s="47" t="s">
        <v>86</v>
      </c>
      <c r="C41" s="35"/>
      <c r="D41" s="48"/>
      <c r="E41" s="33"/>
      <c r="F41" s="16"/>
      <c r="G41" s="68"/>
      <c r="H41" s="68"/>
      <c r="I41" s="68"/>
      <c r="J41" s="68"/>
    </row>
    <row r="42" spans="1:12" ht="16.5" customHeight="1">
      <c r="A42" s="15"/>
      <c r="B42" s="35"/>
      <c r="C42" s="35" t="s">
        <v>87</v>
      </c>
      <c r="D42" s="48"/>
      <c r="E42" s="36" t="s">
        <v>88</v>
      </c>
      <c r="F42" s="37" t="s">
        <v>89</v>
      </c>
      <c r="G42" s="67"/>
      <c r="H42" s="92">
        <f>Detail!I137</f>
        <v>338358</v>
      </c>
      <c r="I42" s="67"/>
      <c r="J42" s="67"/>
      <c r="L42" s="1" t="s">
        <v>21</v>
      </c>
    </row>
    <row r="43" spans="1:12" ht="16.5" customHeight="1">
      <c r="A43" s="15"/>
      <c r="B43" s="35"/>
      <c r="C43" s="35" t="s">
        <v>90</v>
      </c>
      <c r="D43" s="48"/>
      <c r="E43" s="36" t="s">
        <v>91</v>
      </c>
      <c r="F43" s="37" t="s">
        <v>92</v>
      </c>
      <c r="G43" s="67"/>
      <c r="H43" s="67"/>
      <c r="I43" s="67"/>
      <c r="J43" s="67"/>
      <c r="L43" s="1" t="s">
        <v>21</v>
      </c>
    </row>
    <row r="44" spans="1:12" ht="16.5" customHeight="1" thickBot="1">
      <c r="A44" s="15"/>
      <c r="B44" s="35"/>
      <c r="C44" s="35" t="s">
        <v>93</v>
      </c>
      <c r="D44" s="48"/>
      <c r="E44" s="39" t="s">
        <v>94</v>
      </c>
      <c r="F44" s="40" t="s">
        <v>95</v>
      </c>
      <c r="G44" s="69"/>
      <c r="H44" s="69"/>
      <c r="I44" s="69"/>
      <c r="J44" s="69"/>
      <c r="L44" s="1" t="s">
        <v>21</v>
      </c>
    </row>
    <row r="45" spans="1:12" ht="16.5" customHeight="1" thickBot="1">
      <c r="A45" s="41"/>
      <c r="B45" s="43"/>
      <c r="C45" s="43"/>
      <c r="D45" s="49" t="s">
        <v>96</v>
      </c>
      <c r="E45" s="45"/>
      <c r="F45" s="54" t="s">
        <v>97</v>
      </c>
      <c r="G45" s="63">
        <f>SUM(G42:G44)</f>
        <v>0</v>
      </c>
      <c r="H45" s="63">
        <f>SUM(H42:H44)</f>
        <v>338358</v>
      </c>
      <c r="I45" s="63">
        <f>SUM(I42:I44)</f>
        <v>0</v>
      </c>
      <c r="J45" s="63">
        <f>SUM(J42:J44)</f>
        <v>0</v>
      </c>
      <c r="L45" s="1" t="s">
        <v>31</v>
      </c>
    </row>
    <row r="46" spans="1:12" ht="30" customHeight="1">
      <c r="A46" s="15"/>
      <c r="B46" s="35" t="s">
        <v>98</v>
      </c>
      <c r="D46" s="16"/>
      <c r="E46" s="36" t="s">
        <v>27</v>
      </c>
      <c r="F46" s="37" t="s">
        <v>99</v>
      </c>
      <c r="G46" s="67"/>
      <c r="H46" s="67"/>
      <c r="I46" s="67"/>
      <c r="J46" s="67"/>
      <c r="L46" s="1" t="s">
        <v>21</v>
      </c>
    </row>
    <row r="47" spans="1:12" ht="30" customHeight="1">
      <c r="A47" s="15"/>
      <c r="B47" s="35" t="s">
        <v>100</v>
      </c>
      <c r="D47" s="16"/>
      <c r="E47" s="36" t="s">
        <v>101</v>
      </c>
      <c r="F47" s="37" t="s">
        <v>102</v>
      </c>
      <c r="G47" s="67"/>
      <c r="H47" s="67"/>
      <c r="I47" s="67"/>
      <c r="J47" s="67"/>
      <c r="L47" s="1" t="s">
        <v>21</v>
      </c>
    </row>
    <row r="48" spans="1:10" ht="19.5" customHeight="1" thickBot="1">
      <c r="A48" s="15"/>
      <c r="D48" s="16"/>
      <c r="E48" s="33"/>
      <c r="F48" s="16"/>
      <c r="G48" s="68"/>
      <c r="H48" s="68"/>
      <c r="I48" s="68"/>
      <c r="J48" s="68"/>
    </row>
    <row r="49" spans="1:12" ht="16.5" customHeight="1" thickBot="1">
      <c r="A49" s="41"/>
      <c r="B49" s="42"/>
      <c r="C49" s="43" t="s">
        <v>103</v>
      </c>
      <c r="D49" s="44"/>
      <c r="E49" s="45"/>
      <c r="F49" s="54" t="s">
        <v>104</v>
      </c>
      <c r="G49" s="63">
        <f>G30+G40+G45+G46+G47</f>
        <v>0</v>
      </c>
      <c r="H49" s="63">
        <f>H30+H40+H45+H46+H47</f>
        <v>3030143.943</v>
      </c>
      <c r="I49" s="63">
        <f>I30+I40+I45+I46+I47</f>
        <v>0</v>
      </c>
      <c r="J49" s="63">
        <f>J30+J40+J45+J46+J47</f>
        <v>1207648.9266666668</v>
      </c>
      <c r="L49" s="1" t="s">
        <v>31</v>
      </c>
    </row>
    <row r="50" spans="1:12" ht="30" customHeight="1">
      <c r="A50" s="15"/>
      <c r="B50" s="35" t="s">
        <v>105</v>
      </c>
      <c r="D50" s="16"/>
      <c r="E50" s="36" t="s">
        <v>106</v>
      </c>
      <c r="F50" s="37" t="s">
        <v>107</v>
      </c>
      <c r="G50" s="67"/>
      <c r="H50" s="67"/>
      <c r="I50" s="67"/>
      <c r="J50" s="67"/>
      <c r="L50" s="1" t="s">
        <v>21</v>
      </c>
    </row>
    <row r="51" spans="1:10" ht="24.75" customHeight="1" thickBot="1">
      <c r="A51" s="15"/>
      <c r="D51" s="16"/>
      <c r="E51" s="33"/>
      <c r="F51" s="16"/>
      <c r="G51" s="71"/>
      <c r="H51" s="68"/>
      <c r="I51" s="68"/>
      <c r="J51" s="68"/>
    </row>
    <row r="52" spans="1:12" ht="16.5" customHeight="1" thickBot="1" thickTop="1">
      <c r="A52" s="60"/>
      <c r="B52" s="55" t="s">
        <v>108</v>
      </c>
      <c r="C52" s="56"/>
      <c r="D52" s="57"/>
      <c r="E52" s="58"/>
      <c r="F52" s="59" t="s">
        <v>36</v>
      </c>
      <c r="G52" s="64">
        <f>G49+G50</f>
        <v>0</v>
      </c>
      <c r="H52" s="64">
        <f>H49+H50</f>
        <v>3030143.943</v>
      </c>
      <c r="I52" s="64">
        <f>I49+I50</f>
        <v>0</v>
      </c>
      <c r="J52" s="64">
        <f>J49+J50</f>
        <v>1207648.9266666668</v>
      </c>
      <c r="L52" s="1" t="s">
        <v>37</v>
      </c>
    </row>
    <row r="53" spans="1:10" ht="24.75" customHeight="1" thickTop="1">
      <c r="A53" s="32"/>
      <c r="B53" s="50"/>
      <c r="C53" s="50"/>
      <c r="D53" s="51"/>
      <c r="E53" s="33"/>
      <c r="F53" s="16"/>
      <c r="G53" s="72"/>
      <c r="H53" s="68"/>
      <c r="I53" s="68"/>
      <c r="J53" s="68"/>
    </row>
    <row r="54" spans="1:10" ht="30" customHeight="1">
      <c r="A54" s="15"/>
      <c r="B54" s="35" t="s">
        <v>109</v>
      </c>
      <c r="D54" s="16"/>
      <c r="E54" s="33"/>
      <c r="F54" s="16"/>
      <c r="G54" s="72"/>
      <c r="H54" s="68"/>
      <c r="I54" s="68"/>
      <c r="J54" s="68"/>
    </row>
    <row r="55" spans="1:12" ht="15.75">
      <c r="A55" s="15"/>
      <c r="C55" s="35" t="s">
        <v>110</v>
      </c>
      <c r="D55" s="16"/>
      <c r="E55" s="52" t="s">
        <v>111</v>
      </c>
      <c r="F55" s="61" t="s">
        <v>112</v>
      </c>
      <c r="G55" s="65">
        <f>G21-G52</f>
        <v>0</v>
      </c>
      <c r="H55" s="65">
        <f>H21-H52</f>
        <v>208231.05700000003</v>
      </c>
      <c r="I55" s="65">
        <f>I21-I52</f>
        <v>0</v>
      </c>
      <c r="J55" s="65">
        <f>J21-J52</f>
        <v>185431.69333333336</v>
      </c>
      <c r="L55" s="1" t="s">
        <v>113</v>
      </c>
    </row>
    <row r="56" spans="1:12" ht="24.75" customHeight="1">
      <c r="A56" s="15"/>
      <c r="B56" s="35" t="s">
        <v>114</v>
      </c>
      <c r="D56" s="16"/>
      <c r="E56" s="46"/>
      <c r="F56" s="37" t="s">
        <v>115</v>
      </c>
      <c r="G56" s="67"/>
      <c r="H56" s="67"/>
      <c r="I56" s="67"/>
      <c r="J56" s="67"/>
      <c r="L56" s="1" t="s">
        <v>21</v>
      </c>
    </row>
    <row r="57" spans="1:12" ht="19.5" customHeight="1">
      <c r="A57" s="15"/>
      <c r="B57" s="35" t="s">
        <v>116</v>
      </c>
      <c r="D57" s="16"/>
      <c r="E57" s="46"/>
      <c r="F57" s="37" t="s">
        <v>117</v>
      </c>
      <c r="G57" s="67"/>
      <c r="H57" s="67"/>
      <c r="I57" s="67"/>
      <c r="J57" s="67"/>
      <c r="L57" s="1" t="s">
        <v>21</v>
      </c>
    </row>
    <row r="58" spans="1:12" ht="19.5" customHeight="1">
      <c r="A58" s="15"/>
      <c r="B58" s="35" t="s">
        <v>118</v>
      </c>
      <c r="D58" s="16"/>
      <c r="E58" s="46"/>
      <c r="F58" s="37" t="s">
        <v>119</v>
      </c>
      <c r="G58" s="67"/>
      <c r="H58" s="67"/>
      <c r="I58" s="67"/>
      <c r="J58" s="67"/>
      <c r="L58" s="1" t="s">
        <v>21</v>
      </c>
    </row>
    <row r="59" spans="1:12" ht="19.5" customHeight="1">
      <c r="A59" s="15"/>
      <c r="B59" s="35" t="s">
        <v>120</v>
      </c>
      <c r="D59" s="16"/>
      <c r="E59" s="46"/>
      <c r="F59" s="37" t="s">
        <v>121</v>
      </c>
      <c r="G59" s="67"/>
      <c r="H59" s="73">
        <f>G60</f>
        <v>0</v>
      </c>
      <c r="I59" s="67"/>
      <c r="J59" s="73">
        <f>I60</f>
        <v>0</v>
      </c>
      <c r="L59" s="1" t="s">
        <v>21</v>
      </c>
    </row>
    <row r="60" spans="1:12" ht="19.5" customHeight="1">
      <c r="A60" s="15"/>
      <c r="B60" s="35" t="s">
        <v>122</v>
      </c>
      <c r="D60" s="16"/>
      <c r="E60" s="52" t="s">
        <v>111</v>
      </c>
      <c r="F60" s="61" t="s">
        <v>123</v>
      </c>
      <c r="G60" s="65">
        <f>SUM(G55:G59)</f>
        <v>0</v>
      </c>
      <c r="H60" s="65">
        <f>SUM(H55:H59)</f>
        <v>208231.05700000003</v>
      </c>
      <c r="I60" s="65">
        <f>SUM(I55:I59)</f>
        <v>0</v>
      </c>
      <c r="J60" s="65">
        <f>SUM(J55:J59)</f>
        <v>185431.69333333336</v>
      </c>
      <c r="L60" s="1" t="s">
        <v>124</v>
      </c>
    </row>
    <row r="61" spans="1:10" ht="13.5" customHeight="1" thickBot="1">
      <c r="A61" s="22"/>
      <c r="B61" s="29"/>
      <c r="C61" s="29"/>
      <c r="D61" s="23"/>
      <c r="E61" s="53"/>
      <c r="F61" s="23"/>
      <c r="G61" s="66"/>
      <c r="H61" s="23"/>
      <c r="I61" s="23"/>
      <c r="J61" s="23"/>
    </row>
    <row r="62" ht="15.75" thickTop="1"/>
    <row r="63" ht="15">
      <c r="B63" s="7" t="s">
        <v>125</v>
      </c>
    </row>
    <row r="67" ht="15">
      <c r="B67" s="2" t="str">
        <f ca="1">CELL("filename")</f>
        <v>C:\Documents and Settings\sosborn\Desktop\CFO\Budgets\2012-13\Lens\[ECHS - Five Year Budget 2012.13.xls]YoY Budget</v>
      </c>
    </row>
  </sheetData>
  <sheetProtection sheet="1" objects="1" scenarios="1"/>
  <mergeCells count="5">
    <mergeCell ref="I9:I11"/>
    <mergeCell ref="J9:J11"/>
    <mergeCell ref="D4:D5"/>
    <mergeCell ref="G9:G11"/>
    <mergeCell ref="H9:H11"/>
  </mergeCells>
  <printOptions horizontalCentered="1"/>
  <pageMargins left="0" right="0" top="0.25" bottom="0.25" header="0.5" footer="0.5"/>
  <pageSetup horizontalDpi="600" verticalDpi="600" orientation="landscape" scale="70" r:id="rId1"/>
  <rowBreaks count="1" manualBreakCount="1">
    <brk id="40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2:D44"/>
  <sheetViews>
    <sheetView zoomScalePageLayoutView="0" workbookViewId="0" topLeftCell="A1">
      <selection activeCell="B39" sqref="B39"/>
    </sheetView>
  </sheetViews>
  <sheetFormatPr defaultColWidth="8.88671875" defaultRowHeight="15"/>
  <cols>
    <col min="2" max="4" width="11.99609375" style="0" bestFit="1" customWidth="1"/>
  </cols>
  <sheetData>
    <row r="2" ht="15.75">
      <c r="B2" s="83" t="s">
        <v>149</v>
      </c>
    </row>
    <row r="3" ht="15">
      <c r="B3" s="84">
        <v>3746.17</v>
      </c>
    </row>
    <row r="5" ht="15.75">
      <c r="B5" s="83" t="s">
        <v>150</v>
      </c>
    </row>
    <row r="6" ht="15">
      <c r="B6" s="84">
        <v>3253.83</v>
      </c>
    </row>
    <row r="8" ht="15.75">
      <c r="B8" s="83" t="s">
        <v>151</v>
      </c>
    </row>
    <row r="9" ht="15">
      <c r="B9" s="85">
        <f>SUM(B6,B3)</f>
        <v>7000</v>
      </c>
    </row>
    <row r="11" ht="15.75">
      <c r="B11" s="83" t="s">
        <v>152</v>
      </c>
    </row>
    <row r="12" ht="15">
      <c r="B12">
        <v>425</v>
      </c>
    </row>
    <row r="14" spans="2:4" ht="15.75">
      <c r="B14" s="83" t="s">
        <v>153</v>
      </c>
      <c r="C14" s="83" t="s">
        <v>161</v>
      </c>
      <c r="D14" s="83" t="s">
        <v>162</v>
      </c>
    </row>
    <row r="15" spans="2:4" ht="15">
      <c r="B15" s="84">
        <v>384420</v>
      </c>
      <c r="C15" s="84">
        <v>485303</v>
      </c>
      <c r="D15" s="84">
        <f>SUM(B15:C15)</f>
        <v>869723</v>
      </c>
    </row>
    <row r="17" spans="2:4" ht="15.75">
      <c r="B17" s="83" t="s">
        <v>147</v>
      </c>
      <c r="C17" s="83" t="s">
        <v>161</v>
      </c>
      <c r="D17" s="83" t="s">
        <v>162</v>
      </c>
    </row>
    <row r="18" spans="2:4" ht="15">
      <c r="B18" s="84">
        <v>37931</v>
      </c>
      <c r="C18" s="84">
        <v>251238</v>
      </c>
      <c r="D18" s="84">
        <f>SUM(B18:C18)</f>
        <v>289169</v>
      </c>
    </row>
    <row r="20" spans="2:4" ht="15.75">
      <c r="B20" s="86" t="s">
        <v>154</v>
      </c>
      <c r="C20" s="86" t="s">
        <v>161</v>
      </c>
      <c r="D20" s="86" t="s">
        <v>162</v>
      </c>
    </row>
    <row r="21" spans="2:4" ht="15">
      <c r="B21" s="84">
        <v>5637</v>
      </c>
      <c r="C21" s="84">
        <v>8558</v>
      </c>
      <c r="D21" s="84">
        <f>SUM(B21:C21)</f>
        <v>14195</v>
      </c>
    </row>
    <row r="23" spans="2:4" ht="15.75">
      <c r="B23" s="83" t="s">
        <v>155</v>
      </c>
      <c r="C23" s="86" t="s">
        <v>161</v>
      </c>
      <c r="D23" s="86" t="s">
        <v>162</v>
      </c>
    </row>
    <row r="24" spans="2:4" ht="15">
      <c r="B24" s="84">
        <v>82113</v>
      </c>
      <c r="C24" s="84">
        <v>2026</v>
      </c>
      <c r="D24" s="84">
        <f>SUM(B24:C24)</f>
        <v>84139</v>
      </c>
    </row>
    <row r="26" ht="15">
      <c r="B26" t="s">
        <v>156</v>
      </c>
    </row>
    <row r="27" ht="15">
      <c r="B27" s="84">
        <f>5610/2</f>
        <v>2805</v>
      </c>
    </row>
    <row r="29" ht="15">
      <c r="B29" t="s">
        <v>157</v>
      </c>
    </row>
    <row r="30" ht="15">
      <c r="B30" s="84">
        <f>89449/2</f>
        <v>44724.5</v>
      </c>
    </row>
    <row r="32" ht="15">
      <c r="B32" t="s">
        <v>158</v>
      </c>
    </row>
    <row r="33" ht="15">
      <c r="B33" s="85">
        <f>(0.5*Detail!J69)+Detail!J73</f>
        <v>46216.96</v>
      </c>
    </row>
    <row r="35" ht="15">
      <c r="B35" t="s">
        <v>159</v>
      </c>
    </row>
    <row r="36" ht="15">
      <c r="B36" s="85">
        <f>Detail!J50</f>
        <v>26108.16</v>
      </c>
    </row>
    <row r="38" ht="15">
      <c r="B38" t="s">
        <v>160</v>
      </c>
    </row>
    <row r="39" ht="15">
      <c r="B39" s="85">
        <f>Detail!J71</f>
        <v>16000</v>
      </c>
    </row>
    <row r="41" ht="15">
      <c r="B41" t="s">
        <v>163</v>
      </c>
    </row>
    <row r="42" spans="2:4" ht="15">
      <c r="B42" s="84">
        <f>1505*175</f>
        <v>263375</v>
      </c>
      <c r="D42" t="s">
        <v>325</v>
      </c>
    </row>
    <row r="44" ht="15">
      <c r="B44" t="s">
        <v>164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25"/>
  <sheetViews>
    <sheetView zoomScale="80" zoomScaleNormal="80" zoomScalePageLayoutView="0" workbookViewId="0" topLeftCell="A199">
      <selection activeCell="E13" sqref="E13"/>
    </sheetView>
  </sheetViews>
  <sheetFormatPr defaultColWidth="11.4453125" defaultRowHeight="15"/>
  <cols>
    <col min="1" max="1" width="1.77734375" style="1" customWidth="1"/>
    <col min="2" max="2" width="4.77734375" style="1" customWidth="1"/>
    <col min="3" max="3" width="6.77734375" style="1" customWidth="1"/>
    <col min="4" max="4" width="40.77734375" style="1" customWidth="1"/>
    <col min="5" max="5" width="13.88671875" style="1" bestFit="1" customWidth="1"/>
    <col min="6" max="6" width="13.88671875" style="1" customWidth="1"/>
    <col min="7" max="7" width="11.4453125" style="1" customWidth="1"/>
    <col min="8" max="11" width="15.77734375" style="1" customWidth="1"/>
    <col min="12" max="12" width="2.77734375" style="1" customWidth="1"/>
    <col min="13" max="13" width="15.77734375" style="1" customWidth="1"/>
    <col min="14" max="16384" width="11.4453125" style="1" customWidth="1"/>
  </cols>
  <sheetData>
    <row r="1" spans="2:4" ht="15">
      <c r="B1" s="2"/>
      <c r="D1" s="3"/>
    </row>
    <row r="2" spans="1:11" ht="21.75" customHeigh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9.5" customHeight="1" thickBot="1">
      <c r="A3" s="6" t="s">
        <v>133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5.75" thickTop="1">
      <c r="A4" s="7" t="s">
        <v>1</v>
      </c>
      <c r="D4" s="554" t="s">
        <v>136</v>
      </c>
      <c r="J4" s="8" t="s">
        <v>127</v>
      </c>
      <c r="K4" s="9"/>
    </row>
    <row r="5" spans="2:11" ht="16.5" customHeight="1" thickBot="1">
      <c r="B5" s="1" t="s">
        <v>2</v>
      </c>
      <c r="D5" s="555"/>
      <c r="J5" s="10" t="s">
        <v>131</v>
      </c>
      <c r="K5" s="11"/>
    </row>
    <row r="6" spans="1:11" ht="15.75" thickTop="1">
      <c r="A6" s="12"/>
      <c r="B6" s="13"/>
      <c r="C6" s="13"/>
      <c r="D6" s="14"/>
      <c r="E6" s="13"/>
      <c r="F6" s="13"/>
      <c r="G6" s="14"/>
      <c r="H6" s="12"/>
      <c r="I6" s="14"/>
      <c r="J6" s="12"/>
      <c r="K6" s="14"/>
    </row>
    <row r="7" spans="1:13" ht="15.75">
      <c r="A7" s="15"/>
      <c r="D7" s="16"/>
      <c r="E7" s="17" t="s">
        <v>3</v>
      </c>
      <c r="F7" s="17"/>
      <c r="G7" s="18"/>
      <c r="H7" s="19" t="s">
        <v>4</v>
      </c>
      <c r="I7" s="20"/>
      <c r="J7" s="19" t="s">
        <v>5</v>
      </c>
      <c r="K7" s="21"/>
      <c r="M7" s="7" t="s">
        <v>6</v>
      </c>
    </row>
    <row r="8" spans="1:13" ht="13.5" customHeight="1" thickBot="1">
      <c r="A8" s="19" t="s">
        <v>7</v>
      </c>
      <c r="B8" s="5"/>
      <c r="C8" s="5"/>
      <c r="D8" s="18"/>
      <c r="G8" s="16"/>
      <c r="H8" s="22"/>
      <c r="I8" s="23"/>
      <c r="J8" s="22"/>
      <c r="K8" s="23"/>
      <c r="M8" s="24" t="s">
        <v>8</v>
      </c>
    </row>
    <row r="9" spans="1:13" ht="15.75" customHeight="1" thickTop="1">
      <c r="A9" s="15"/>
      <c r="D9" s="16"/>
      <c r="E9" s="25" t="s">
        <v>9</v>
      </c>
      <c r="F9" s="74" t="str">
        <f>E9</f>
        <v>L.A.U.G.H.</v>
      </c>
      <c r="G9" s="26" t="s">
        <v>10</v>
      </c>
      <c r="H9" s="551" t="s">
        <v>134</v>
      </c>
      <c r="I9" s="551" t="s">
        <v>135</v>
      </c>
      <c r="J9" s="551" t="s">
        <v>134</v>
      </c>
      <c r="K9" s="551" t="s">
        <v>135</v>
      </c>
      <c r="M9" s="24" t="s">
        <v>11</v>
      </c>
    </row>
    <row r="10" spans="1:13" ht="15" customHeight="1">
      <c r="A10" s="15"/>
      <c r="D10" s="16"/>
      <c r="E10" s="27" t="s">
        <v>12</v>
      </c>
      <c r="F10" s="75" t="str">
        <f>E10</f>
        <v>Source/Function</v>
      </c>
      <c r="G10" s="28" t="s">
        <v>13</v>
      </c>
      <c r="H10" s="552"/>
      <c r="I10" s="552" t="s">
        <v>132</v>
      </c>
      <c r="J10" s="552"/>
      <c r="K10" s="552" t="s">
        <v>132</v>
      </c>
      <c r="M10" s="24" t="s">
        <v>14</v>
      </c>
    </row>
    <row r="11" spans="1:13" ht="15.75" customHeight="1" thickBot="1">
      <c r="A11" s="22"/>
      <c r="B11" s="29"/>
      <c r="C11" s="29"/>
      <c r="D11" s="23"/>
      <c r="E11" s="30" t="s">
        <v>15</v>
      </c>
      <c r="F11" s="76" t="s">
        <v>137</v>
      </c>
      <c r="G11" s="31" t="s">
        <v>15</v>
      </c>
      <c r="H11" s="553"/>
      <c r="I11" s="553"/>
      <c r="J11" s="553"/>
      <c r="K11" s="553"/>
      <c r="M11" s="24" t="s">
        <v>16</v>
      </c>
    </row>
    <row r="12" spans="1:11" ht="21.75" customHeight="1" thickTop="1">
      <c r="A12" s="32" t="s">
        <v>17</v>
      </c>
      <c r="B12" s="5"/>
      <c r="C12" s="5"/>
      <c r="D12" s="18"/>
      <c r="E12" s="33"/>
      <c r="F12" s="77"/>
      <c r="G12" s="16"/>
      <c r="H12" s="16"/>
      <c r="I12" s="34"/>
      <c r="J12" s="34"/>
      <c r="K12" s="34"/>
    </row>
    <row r="13" spans="1:13" ht="16.5" customHeight="1">
      <c r="A13" s="15"/>
      <c r="B13" s="35" t="s">
        <v>18</v>
      </c>
      <c r="D13" s="16"/>
      <c r="E13" s="36" t="s">
        <v>19</v>
      </c>
      <c r="F13" s="78"/>
      <c r="G13" s="37" t="s">
        <v>20</v>
      </c>
      <c r="H13" s="67"/>
      <c r="I13" s="67"/>
      <c r="J13" s="67"/>
      <c r="K13" s="67"/>
      <c r="M13" s="1" t="s">
        <v>21</v>
      </c>
    </row>
    <row r="14" spans="1:11" ht="16.5" customHeight="1">
      <c r="A14" s="15"/>
      <c r="B14" s="35"/>
      <c r="D14" s="16"/>
      <c r="E14" s="36">
        <f>F14</f>
        <v>1100</v>
      </c>
      <c r="F14" s="78">
        <v>1100</v>
      </c>
      <c r="G14" s="37"/>
      <c r="H14" s="67"/>
      <c r="I14" s="67"/>
      <c r="J14" s="67"/>
      <c r="K14" s="67"/>
    </row>
    <row r="15" spans="1:11" ht="16.5" customHeight="1">
      <c r="A15" s="15"/>
      <c r="B15" s="35"/>
      <c r="D15" s="16"/>
      <c r="E15" s="36"/>
      <c r="F15" s="78">
        <v>1111</v>
      </c>
      <c r="G15" s="37"/>
      <c r="H15" s="67"/>
      <c r="I15" s="67"/>
      <c r="J15" s="67"/>
      <c r="K15" s="67"/>
    </row>
    <row r="16" spans="1:11" ht="16.5" customHeight="1">
      <c r="A16" s="15"/>
      <c r="B16" s="35"/>
      <c r="D16" s="16"/>
      <c r="E16" s="36"/>
      <c r="F16" s="78">
        <v>1112</v>
      </c>
      <c r="G16" s="37"/>
      <c r="H16" s="67"/>
      <c r="I16" s="67"/>
      <c r="J16" s="67"/>
      <c r="K16" s="67"/>
    </row>
    <row r="17" spans="1:11" ht="16.5" customHeight="1">
      <c r="A17" s="15"/>
      <c r="B17" s="35"/>
      <c r="D17" s="16"/>
      <c r="E17" s="36"/>
      <c r="F17" s="78">
        <v>1113</v>
      </c>
      <c r="G17" s="37"/>
      <c r="H17" s="67"/>
      <c r="I17" s="67"/>
      <c r="J17" s="67"/>
      <c r="K17" s="67"/>
    </row>
    <row r="18" spans="1:11" ht="16.5" customHeight="1">
      <c r="A18" s="15"/>
      <c r="B18" s="35"/>
      <c r="D18" s="16"/>
      <c r="E18" s="36"/>
      <c r="F18" s="78">
        <v>1114</v>
      </c>
      <c r="G18" s="37"/>
      <c r="H18" s="67"/>
      <c r="I18" s="67"/>
      <c r="J18" s="67"/>
      <c r="K18" s="67"/>
    </row>
    <row r="19" spans="1:11" ht="16.5" customHeight="1">
      <c r="A19" s="15"/>
      <c r="B19" s="35"/>
      <c r="D19" s="16"/>
      <c r="E19" s="36"/>
      <c r="F19" s="78">
        <v>1130</v>
      </c>
      <c r="G19" s="37"/>
      <c r="H19" s="67"/>
      <c r="I19" s="67"/>
      <c r="J19" s="67"/>
      <c r="K19" s="67"/>
    </row>
    <row r="20" spans="1:11" ht="16.5" customHeight="1">
      <c r="A20" s="15"/>
      <c r="B20" s="35"/>
      <c r="D20" s="16"/>
      <c r="E20" s="36">
        <f>F20</f>
        <v>1200</v>
      </c>
      <c r="F20" s="78">
        <v>1200</v>
      </c>
      <c r="G20" s="37"/>
      <c r="H20" s="67"/>
      <c r="I20" s="67"/>
      <c r="J20" s="67"/>
      <c r="K20" s="67"/>
    </row>
    <row r="21" spans="1:11" ht="16.5" customHeight="1">
      <c r="A21" s="15"/>
      <c r="B21" s="35"/>
      <c r="D21" s="16"/>
      <c r="E21" s="36"/>
      <c r="F21" s="78">
        <v>1300</v>
      </c>
      <c r="G21" s="37"/>
      <c r="H21" s="67"/>
      <c r="I21" s="67"/>
      <c r="J21" s="67"/>
      <c r="K21" s="67"/>
    </row>
    <row r="22" spans="1:11" ht="16.5" customHeight="1">
      <c r="A22" s="15"/>
      <c r="B22" s="35"/>
      <c r="D22" s="16"/>
      <c r="E22" s="36"/>
      <c r="F22" s="78">
        <v>1310</v>
      </c>
      <c r="G22" s="37"/>
      <c r="H22" s="67"/>
      <c r="I22" s="67"/>
      <c r="J22" s="67"/>
      <c r="K22" s="67"/>
    </row>
    <row r="23" spans="1:11" ht="16.5" customHeight="1">
      <c r="A23" s="15"/>
      <c r="B23" s="35"/>
      <c r="D23" s="16"/>
      <c r="E23" s="36"/>
      <c r="F23" s="78">
        <v>1320</v>
      </c>
      <c r="G23" s="37"/>
      <c r="H23" s="67"/>
      <c r="I23" s="67"/>
      <c r="J23" s="67"/>
      <c r="K23" s="67"/>
    </row>
    <row r="24" spans="1:11" ht="16.5" customHeight="1">
      <c r="A24" s="15"/>
      <c r="B24" s="35"/>
      <c r="D24" s="16"/>
      <c r="E24" s="36"/>
      <c r="F24" s="78">
        <v>1390</v>
      </c>
      <c r="G24" s="37"/>
      <c r="H24" s="67"/>
      <c r="I24" s="67"/>
      <c r="J24" s="67"/>
      <c r="K24" s="67"/>
    </row>
    <row r="25" spans="1:11" ht="16.5" customHeight="1">
      <c r="A25" s="15"/>
      <c r="B25" s="35"/>
      <c r="D25" s="16"/>
      <c r="E25" s="36">
        <f>F25</f>
        <v>1400</v>
      </c>
      <c r="F25" s="78">
        <v>1400</v>
      </c>
      <c r="G25" s="37"/>
      <c r="H25" s="67"/>
      <c r="I25" s="67"/>
      <c r="J25" s="67"/>
      <c r="K25" s="67"/>
    </row>
    <row r="26" spans="1:11" ht="16.5" customHeight="1">
      <c r="A26" s="15"/>
      <c r="B26" s="35"/>
      <c r="D26" s="16"/>
      <c r="E26" s="36"/>
      <c r="F26" s="78">
        <v>1410</v>
      </c>
      <c r="G26" s="37"/>
      <c r="H26" s="67"/>
      <c r="I26" s="67"/>
      <c r="J26" s="67"/>
      <c r="K26" s="67"/>
    </row>
    <row r="27" spans="1:11" ht="16.5" customHeight="1">
      <c r="A27" s="15"/>
      <c r="B27" s="35"/>
      <c r="D27" s="16"/>
      <c r="E27" s="36"/>
      <c r="F27" s="78">
        <v>1420</v>
      </c>
      <c r="G27" s="37"/>
      <c r="H27" s="67"/>
      <c r="I27" s="67"/>
      <c r="J27" s="67"/>
      <c r="K27" s="67"/>
    </row>
    <row r="28" spans="1:11" ht="16.5" customHeight="1">
      <c r="A28" s="15"/>
      <c r="B28" s="35"/>
      <c r="D28" s="16"/>
      <c r="E28" s="36"/>
      <c r="F28" s="78">
        <v>1440</v>
      </c>
      <c r="G28" s="37"/>
      <c r="H28" s="67"/>
      <c r="I28" s="67"/>
      <c r="J28" s="67"/>
      <c r="K28" s="67"/>
    </row>
    <row r="29" spans="1:11" ht="16.5" customHeight="1">
      <c r="A29" s="15"/>
      <c r="B29" s="35"/>
      <c r="D29" s="16"/>
      <c r="E29" s="36">
        <f>F29</f>
        <v>1500</v>
      </c>
      <c r="F29" s="78">
        <v>1500</v>
      </c>
      <c r="G29" s="37"/>
      <c r="H29" s="67"/>
      <c r="I29" s="67"/>
      <c r="J29" s="67"/>
      <c r="K29" s="67"/>
    </row>
    <row r="30" spans="1:11" ht="16.5" customHeight="1">
      <c r="A30" s="15"/>
      <c r="B30" s="35"/>
      <c r="D30" s="16"/>
      <c r="E30" s="36"/>
      <c r="F30" s="78">
        <v>1510</v>
      </c>
      <c r="G30" s="37"/>
      <c r="H30" s="67"/>
      <c r="I30" s="67"/>
      <c r="J30" s="67"/>
      <c r="K30" s="67"/>
    </row>
    <row r="31" spans="1:11" ht="16.5" customHeight="1">
      <c r="A31" s="15"/>
      <c r="B31" s="35"/>
      <c r="D31" s="16"/>
      <c r="E31" s="36"/>
      <c r="F31" s="78">
        <v>1540</v>
      </c>
      <c r="G31" s="37"/>
      <c r="H31" s="67"/>
      <c r="I31" s="67"/>
      <c r="J31" s="67"/>
      <c r="K31" s="67"/>
    </row>
    <row r="32" spans="1:11" ht="16.5" customHeight="1">
      <c r="A32" s="15"/>
      <c r="B32" s="35"/>
      <c r="D32" s="16"/>
      <c r="E32" s="36"/>
      <c r="F32" s="78">
        <v>1541</v>
      </c>
      <c r="G32" s="37"/>
      <c r="H32" s="67"/>
      <c r="I32" s="67"/>
      <c r="J32" s="67"/>
      <c r="K32" s="67"/>
    </row>
    <row r="33" spans="1:11" ht="16.5" customHeight="1">
      <c r="A33" s="15"/>
      <c r="B33" s="35"/>
      <c r="D33" s="16"/>
      <c r="E33" s="36"/>
      <c r="F33" s="78">
        <v>1542</v>
      </c>
      <c r="G33" s="37"/>
      <c r="H33" s="67"/>
      <c r="I33" s="67"/>
      <c r="J33" s="67"/>
      <c r="K33" s="67"/>
    </row>
    <row r="34" spans="1:11" ht="16.5" customHeight="1">
      <c r="A34" s="15"/>
      <c r="B34" s="35"/>
      <c r="D34" s="16" t="s">
        <v>138</v>
      </c>
      <c r="E34" s="36">
        <f>F34</f>
        <v>1600</v>
      </c>
      <c r="F34" s="78">
        <v>1600</v>
      </c>
      <c r="G34" s="37"/>
      <c r="H34" s="67"/>
      <c r="I34" s="67"/>
      <c r="J34" s="67"/>
      <c r="K34" s="67"/>
    </row>
    <row r="35" spans="1:11" ht="16.5" customHeight="1">
      <c r="A35" s="15"/>
      <c r="B35" s="35"/>
      <c r="D35" s="16" t="s">
        <v>139</v>
      </c>
      <c r="E35" s="36"/>
      <c r="F35" s="78">
        <v>1610</v>
      </c>
      <c r="G35" s="37"/>
      <c r="H35" s="67"/>
      <c r="I35" s="67"/>
      <c r="J35" s="67"/>
      <c r="K35" s="67"/>
    </row>
    <row r="36" spans="1:11" ht="16.5" customHeight="1">
      <c r="A36" s="15"/>
      <c r="B36" s="35"/>
      <c r="D36" s="16" t="s">
        <v>140</v>
      </c>
      <c r="E36" s="36"/>
      <c r="F36" s="78">
        <v>1620</v>
      </c>
      <c r="G36" s="37"/>
      <c r="H36" s="67"/>
      <c r="I36" s="67"/>
      <c r="J36" s="67"/>
      <c r="K36" s="67"/>
    </row>
    <row r="37" spans="1:11" ht="16.5" customHeight="1">
      <c r="A37" s="15"/>
      <c r="B37" s="35"/>
      <c r="D37" s="16"/>
      <c r="E37" s="36">
        <f>F37</f>
        <v>1800</v>
      </c>
      <c r="F37" s="78">
        <v>1800</v>
      </c>
      <c r="G37" s="37"/>
      <c r="H37" s="67"/>
      <c r="I37" s="67"/>
      <c r="J37" s="67"/>
      <c r="K37" s="67"/>
    </row>
    <row r="38" spans="1:11" ht="16.5" customHeight="1">
      <c r="A38" s="15"/>
      <c r="B38" s="35"/>
      <c r="D38" s="16"/>
      <c r="E38" s="36">
        <f>F38</f>
        <v>1900</v>
      </c>
      <c r="F38" s="78">
        <v>1900</v>
      </c>
      <c r="G38" s="37"/>
      <c r="H38" s="67"/>
      <c r="I38" s="67"/>
      <c r="J38" s="67"/>
      <c r="K38" s="67"/>
    </row>
    <row r="39" spans="1:11" ht="16.5" customHeight="1">
      <c r="A39" s="15"/>
      <c r="B39" s="35"/>
      <c r="D39" s="16"/>
      <c r="E39" s="36"/>
      <c r="F39" s="78">
        <v>1910</v>
      </c>
      <c r="G39" s="37"/>
      <c r="H39" s="67"/>
      <c r="I39" s="67"/>
      <c r="J39" s="67"/>
      <c r="K39" s="67"/>
    </row>
    <row r="40" spans="1:11" ht="16.5" customHeight="1">
      <c r="A40" s="15"/>
      <c r="B40" s="35"/>
      <c r="D40" s="16"/>
      <c r="E40" s="36"/>
      <c r="F40" s="78">
        <v>1920</v>
      </c>
      <c r="G40" s="37"/>
      <c r="H40" s="67"/>
      <c r="I40" s="67"/>
      <c r="J40" s="67"/>
      <c r="K40" s="67"/>
    </row>
    <row r="41" spans="1:11" ht="16.5" customHeight="1">
      <c r="A41" s="15"/>
      <c r="B41" s="35"/>
      <c r="D41" s="16"/>
      <c r="E41" s="36"/>
      <c r="F41" s="78">
        <v>1940</v>
      </c>
      <c r="G41" s="37"/>
      <c r="H41" s="67"/>
      <c r="I41" s="67"/>
      <c r="J41" s="67"/>
      <c r="K41" s="67"/>
    </row>
    <row r="42" spans="1:11" ht="16.5" customHeight="1">
      <c r="A42" s="15"/>
      <c r="B42" s="35"/>
      <c r="D42" s="16"/>
      <c r="E42" s="36"/>
      <c r="F42" s="78">
        <v>1950</v>
      </c>
      <c r="G42" s="37"/>
      <c r="H42" s="67"/>
      <c r="I42" s="67"/>
      <c r="J42" s="67"/>
      <c r="K42" s="67"/>
    </row>
    <row r="43" spans="1:11" ht="16.5" customHeight="1">
      <c r="A43" s="15"/>
      <c r="B43" s="35"/>
      <c r="D43" s="16"/>
      <c r="E43" s="36"/>
      <c r="F43" s="78">
        <v>1960</v>
      </c>
      <c r="G43" s="37"/>
      <c r="H43" s="67"/>
      <c r="I43" s="67"/>
      <c r="J43" s="67"/>
      <c r="K43" s="67"/>
    </row>
    <row r="44" spans="1:11" ht="16.5" customHeight="1">
      <c r="A44" s="15"/>
      <c r="B44" s="35"/>
      <c r="D44" s="16"/>
      <c r="E44" s="36"/>
      <c r="F44" s="78">
        <v>1970</v>
      </c>
      <c r="G44" s="37"/>
      <c r="H44" s="67"/>
      <c r="I44" s="67"/>
      <c r="J44" s="67"/>
      <c r="K44" s="67"/>
    </row>
    <row r="45" spans="1:11" ht="16.5" customHeight="1">
      <c r="A45" s="15"/>
      <c r="B45" s="35"/>
      <c r="D45" s="16"/>
      <c r="E45" s="36"/>
      <c r="F45" s="78">
        <v>1990</v>
      </c>
      <c r="G45" s="37"/>
      <c r="H45" s="67"/>
      <c r="I45" s="67"/>
      <c r="J45" s="67"/>
      <c r="K45" s="67"/>
    </row>
    <row r="46" spans="1:11" ht="16.5" customHeight="1">
      <c r="A46" s="15"/>
      <c r="B46" s="35"/>
      <c r="D46" s="16"/>
      <c r="E46" s="36"/>
      <c r="F46" s="78">
        <v>1991</v>
      </c>
      <c r="G46" s="37"/>
      <c r="H46" s="67"/>
      <c r="I46" s="67"/>
      <c r="J46" s="67"/>
      <c r="K46" s="67"/>
    </row>
    <row r="47" spans="1:11" ht="16.5" customHeight="1">
      <c r="A47" s="15"/>
      <c r="B47" s="35"/>
      <c r="D47" s="16"/>
      <c r="E47" s="36"/>
      <c r="F47" s="78">
        <v>1992</v>
      </c>
      <c r="G47" s="37"/>
      <c r="H47" s="67"/>
      <c r="I47" s="67"/>
      <c r="J47" s="67"/>
      <c r="K47" s="67"/>
    </row>
    <row r="48" spans="1:11" ht="16.5" customHeight="1">
      <c r="A48" s="15"/>
      <c r="B48" s="35"/>
      <c r="D48" s="16"/>
      <c r="E48" s="36"/>
      <c r="F48" s="78">
        <v>1993</v>
      </c>
      <c r="G48" s="37"/>
      <c r="H48" s="67"/>
      <c r="I48" s="67"/>
      <c r="J48" s="67"/>
      <c r="K48" s="67"/>
    </row>
    <row r="49" spans="1:11" ht="16.5" customHeight="1">
      <c r="A49" s="15"/>
      <c r="B49" s="35"/>
      <c r="D49" s="16"/>
      <c r="E49" s="36"/>
      <c r="F49" s="78">
        <v>1999</v>
      </c>
      <c r="G49" s="37"/>
      <c r="H49" s="67"/>
      <c r="I49" s="67"/>
      <c r="J49" s="67"/>
      <c r="K49" s="67"/>
    </row>
    <row r="50" spans="1:13" ht="16.5" customHeight="1">
      <c r="A50" s="15"/>
      <c r="B50" s="35" t="s">
        <v>126</v>
      </c>
      <c r="D50" s="16"/>
      <c r="E50" s="36" t="s">
        <v>22</v>
      </c>
      <c r="F50" s="78"/>
      <c r="G50" s="37" t="s">
        <v>23</v>
      </c>
      <c r="H50" s="67"/>
      <c r="I50" s="67"/>
      <c r="J50" s="67"/>
      <c r="K50" s="67"/>
      <c r="M50" s="1" t="s">
        <v>21</v>
      </c>
    </row>
    <row r="51" spans="1:11" ht="16.5" customHeight="1">
      <c r="A51" s="15"/>
      <c r="B51" s="35"/>
      <c r="D51" s="16"/>
      <c r="E51" s="36">
        <v>3100</v>
      </c>
      <c r="F51" s="78">
        <v>3100</v>
      </c>
      <c r="G51" s="37"/>
      <c r="H51" s="67"/>
      <c r="I51" s="67"/>
      <c r="J51" s="67"/>
      <c r="K51" s="67"/>
    </row>
    <row r="52" spans="1:11" ht="16.5" customHeight="1">
      <c r="A52" s="15"/>
      <c r="B52" s="35"/>
      <c r="D52" s="16"/>
      <c r="E52" s="36"/>
      <c r="F52" s="78">
        <v>3110</v>
      </c>
      <c r="G52" s="37"/>
      <c r="H52" s="67"/>
      <c r="I52" s="67"/>
      <c r="J52" s="67"/>
      <c r="K52" s="67"/>
    </row>
    <row r="53" spans="1:11" ht="16.5" customHeight="1">
      <c r="A53" s="15"/>
      <c r="B53" s="35"/>
      <c r="D53" s="16"/>
      <c r="E53" s="36"/>
      <c r="F53" s="78">
        <v>3115</v>
      </c>
      <c r="G53" s="37"/>
      <c r="H53" s="67"/>
      <c r="I53" s="67"/>
      <c r="J53" s="67"/>
      <c r="K53" s="67"/>
    </row>
    <row r="54" spans="1:11" ht="16.5" customHeight="1">
      <c r="A54" s="15"/>
      <c r="B54" s="35"/>
      <c r="D54" s="16"/>
      <c r="E54" s="36"/>
      <c r="F54" s="78">
        <v>3120</v>
      </c>
      <c r="G54" s="37"/>
      <c r="H54" s="67"/>
      <c r="I54" s="67"/>
      <c r="J54" s="67"/>
      <c r="K54" s="67"/>
    </row>
    <row r="55" spans="1:11" ht="16.5" customHeight="1">
      <c r="A55" s="15"/>
      <c r="B55" s="35"/>
      <c r="D55" s="16"/>
      <c r="E55" s="36"/>
      <c r="F55" s="78">
        <v>3190</v>
      </c>
      <c r="G55" s="37"/>
      <c r="H55" s="67"/>
      <c r="I55" s="67"/>
      <c r="J55" s="67"/>
      <c r="K55" s="67"/>
    </row>
    <row r="56" spans="1:11" ht="16.5" customHeight="1">
      <c r="A56" s="15"/>
      <c r="B56" s="35"/>
      <c r="D56" s="16"/>
      <c r="E56" s="36">
        <v>3200</v>
      </c>
      <c r="F56" s="78">
        <v>3200</v>
      </c>
      <c r="G56" s="37"/>
      <c r="H56" s="67"/>
      <c r="I56" s="67"/>
      <c r="J56" s="67"/>
      <c r="K56" s="67"/>
    </row>
    <row r="57" spans="1:11" ht="16.5" customHeight="1">
      <c r="A57" s="15"/>
      <c r="B57" s="35"/>
      <c r="D57" s="16"/>
      <c r="E57" s="36"/>
      <c r="F57" s="78">
        <v>3210</v>
      </c>
      <c r="G57" s="37"/>
      <c r="H57" s="67"/>
      <c r="I57" s="67"/>
      <c r="J57" s="67"/>
      <c r="K57" s="67"/>
    </row>
    <row r="58" spans="1:11" ht="16.5" customHeight="1">
      <c r="A58" s="15"/>
      <c r="B58" s="35"/>
      <c r="D58" s="16"/>
      <c r="E58" s="36"/>
      <c r="F58" s="78">
        <v>3220</v>
      </c>
      <c r="G58" s="37"/>
      <c r="H58" s="67"/>
      <c r="I58" s="67"/>
      <c r="J58" s="67"/>
      <c r="K58" s="67"/>
    </row>
    <row r="59" spans="1:11" ht="16.5" customHeight="1">
      <c r="A59" s="15"/>
      <c r="B59" s="35"/>
      <c r="D59" s="16"/>
      <c r="E59" s="36"/>
      <c r="F59" s="78">
        <v>3223</v>
      </c>
      <c r="G59" s="37"/>
      <c r="H59" s="67"/>
      <c r="I59" s="67"/>
      <c r="J59" s="67"/>
      <c r="K59" s="67"/>
    </row>
    <row r="60" spans="1:11" ht="16.5" customHeight="1">
      <c r="A60" s="15"/>
      <c r="B60" s="35"/>
      <c r="D60" s="16"/>
      <c r="E60" s="36"/>
      <c r="F60" s="78">
        <v>3225</v>
      </c>
      <c r="G60" s="37"/>
      <c r="H60" s="67"/>
      <c r="I60" s="67"/>
      <c r="J60" s="67"/>
      <c r="K60" s="67"/>
    </row>
    <row r="61" spans="1:11" ht="16.5" customHeight="1">
      <c r="A61" s="15"/>
      <c r="B61" s="35"/>
      <c r="D61" s="16"/>
      <c r="E61" s="36"/>
      <c r="F61" s="78">
        <v>3230</v>
      </c>
      <c r="G61" s="37"/>
      <c r="H61" s="67"/>
      <c r="I61" s="67"/>
      <c r="J61" s="67"/>
      <c r="K61" s="67"/>
    </row>
    <row r="62" spans="1:11" ht="16.5" customHeight="1">
      <c r="A62" s="15"/>
      <c r="B62" s="35"/>
      <c r="D62" s="16"/>
      <c r="E62" s="36"/>
      <c r="F62" s="78">
        <v>3250</v>
      </c>
      <c r="G62" s="37"/>
      <c r="H62" s="67"/>
      <c r="I62" s="67"/>
      <c r="J62" s="67"/>
      <c r="K62" s="67"/>
    </row>
    <row r="63" spans="1:11" ht="16.5" customHeight="1">
      <c r="A63" s="15"/>
      <c r="B63" s="35"/>
      <c r="D63" s="16"/>
      <c r="E63" s="36"/>
      <c r="F63" s="78">
        <v>3255</v>
      </c>
      <c r="G63" s="37"/>
      <c r="H63" s="67"/>
      <c r="I63" s="67"/>
      <c r="J63" s="67"/>
      <c r="K63" s="67"/>
    </row>
    <row r="64" spans="1:11" ht="16.5" customHeight="1">
      <c r="A64" s="15"/>
      <c r="B64" s="35"/>
      <c r="D64" s="16"/>
      <c r="E64" s="36"/>
      <c r="F64" s="78">
        <v>3260</v>
      </c>
      <c r="G64" s="37"/>
      <c r="H64" s="67"/>
      <c r="I64" s="67"/>
      <c r="J64" s="67"/>
      <c r="K64" s="67"/>
    </row>
    <row r="65" spans="1:11" ht="16.5" customHeight="1">
      <c r="A65" s="15"/>
      <c r="B65" s="35"/>
      <c r="D65" s="16"/>
      <c r="E65" s="36"/>
      <c r="F65" s="78">
        <v>3290</v>
      </c>
      <c r="G65" s="37"/>
      <c r="H65" s="67"/>
      <c r="I65" s="67"/>
      <c r="J65" s="67"/>
      <c r="K65" s="67"/>
    </row>
    <row r="66" spans="1:11" ht="16.5" customHeight="1">
      <c r="A66" s="15"/>
      <c r="B66" s="35"/>
      <c r="D66" s="16"/>
      <c r="E66" s="36">
        <v>3800</v>
      </c>
      <c r="F66" s="78">
        <v>3800</v>
      </c>
      <c r="G66" s="37"/>
      <c r="H66" s="67"/>
      <c r="I66" s="67"/>
      <c r="J66" s="67"/>
      <c r="K66" s="67"/>
    </row>
    <row r="67" spans="1:11" ht="16.5" customHeight="1">
      <c r="A67" s="15"/>
      <c r="B67" s="35"/>
      <c r="D67" s="16"/>
      <c r="E67" s="36"/>
      <c r="F67" s="78">
        <v>3810</v>
      </c>
      <c r="G67" s="37"/>
      <c r="H67" s="67"/>
      <c r="I67" s="67"/>
      <c r="J67" s="67"/>
      <c r="K67" s="67"/>
    </row>
    <row r="68" spans="1:11" ht="16.5" customHeight="1">
      <c r="A68" s="15"/>
      <c r="B68" s="35"/>
      <c r="D68" s="16"/>
      <c r="E68" s="36"/>
      <c r="F68" s="78">
        <v>3815</v>
      </c>
      <c r="G68" s="37"/>
      <c r="H68" s="67"/>
      <c r="I68" s="67"/>
      <c r="J68" s="67"/>
      <c r="K68" s="67"/>
    </row>
    <row r="69" spans="1:11" ht="16.5" customHeight="1">
      <c r="A69" s="15"/>
      <c r="B69" s="35"/>
      <c r="D69" s="16"/>
      <c r="E69" s="36"/>
      <c r="F69" s="78">
        <v>3820</v>
      </c>
      <c r="G69" s="37"/>
      <c r="H69" s="67"/>
      <c r="I69" s="67"/>
      <c r="J69" s="67"/>
      <c r="K69" s="67"/>
    </row>
    <row r="70" spans="1:11" ht="16.5" customHeight="1">
      <c r="A70" s="15"/>
      <c r="B70" s="35"/>
      <c r="D70" s="16"/>
      <c r="E70" s="36"/>
      <c r="F70" s="78">
        <v>3890</v>
      </c>
      <c r="G70" s="37"/>
      <c r="H70" s="67"/>
      <c r="I70" s="67"/>
      <c r="J70" s="67"/>
      <c r="K70" s="67"/>
    </row>
    <row r="71" spans="1:11" ht="16.5" customHeight="1">
      <c r="A71" s="15"/>
      <c r="B71" s="35"/>
      <c r="D71" s="16"/>
      <c r="E71" s="36">
        <v>3900</v>
      </c>
      <c r="F71" s="78">
        <v>3900</v>
      </c>
      <c r="G71" s="37"/>
      <c r="H71" s="67"/>
      <c r="I71" s="67"/>
      <c r="J71" s="67"/>
      <c r="K71" s="67"/>
    </row>
    <row r="72" spans="1:11" ht="16.5" customHeight="1">
      <c r="A72" s="15"/>
      <c r="B72" s="35"/>
      <c r="D72" s="16"/>
      <c r="E72" s="36"/>
      <c r="F72" s="78">
        <v>3910</v>
      </c>
      <c r="G72" s="37"/>
      <c r="H72" s="67"/>
      <c r="I72" s="67"/>
      <c r="J72" s="67"/>
      <c r="K72" s="67"/>
    </row>
    <row r="73" spans="1:11" ht="16.5" customHeight="1">
      <c r="A73" s="15"/>
      <c r="B73" s="35"/>
      <c r="D73" s="16"/>
      <c r="E73" s="36"/>
      <c r="F73" s="78">
        <v>3990</v>
      </c>
      <c r="G73" s="37"/>
      <c r="H73" s="67"/>
      <c r="I73" s="67"/>
      <c r="J73" s="67"/>
      <c r="K73" s="67"/>
    </row>
    <row r="74" spans="1:11" ht="16.5" customHeight="1">
      <c r="A74" s="15"/>
      <c r="B74" s="35" t="s">
        <v>128</v>
      </c>
      <c r="D74" s="16"/>
      <c r="E74" s="36" t="s">
        <v>22</v>
      </c>
      <c r="F74" s="78"/>
      <c r="G74" s="37" t="s">
        <v>24</v>
      </c>
      <c r="H74" s="67"/>
      <c r="I74" s="67"/>
      <c r="J74" s="67"/>
      <c r="K74" s="67"/>
    </row>
    <row r="75" spans="1:11" ht="16.5" customHeight="1">
      <c r="A75" s="15"/>
      <c r="B75" s="35"/>
      <c r="D75" s="16"/>
      <c r="E75" s="36">
        <v>3100</v>
      </c>
      <c r="F75" s="78">
        <v>3100</v>
      </c>
      <c r="G75" s="37"/>
      <c r="H75" s="67"/>
      <c r="I75" s="67"/>
      <c r="J75" s="67"/>
      <c r="K75" s="67"/>
    </row>
    <row r="76" spans="1:11" ht="16.5" customHeight="1">
      <c r="A76" s="15"/>
      <c r="B76" s="35"/>
      <c r="D76" s="16"/>
      <c r="E76" s="36"/>
      <c r="F76" s="78">
        <v>3110</v>
      </c>
      <c r="G76" s="37"/>
      <c r="H76" s="67"/>
      <c r="I76" s="67"/>
      <c r="J76" s="67"/>
      <c r="K76" s="67"/>
    </row>
    <row r="77" spans="1:11" ht="16.5" customHeight="1">
      <c r="A77" s="15"/>
      <c r="B77" s="35"/>
      <c r="D77" s="16"/>
      <c r="E77" s="36"/>
      <c r="F77" s="78">
        <v>3115</v>
      </c>
      <c r="G77" s="37"/>
      <c r="H77" s="67"/>
      <c r="I77" s="67"/>
      <c r="J77" s="67"/>
      <c r="K77" s="67"/>
    </row>
    <row r="78" spans="1:11" ht="16.5" customHeight="1">
      <c r="A78" s="15"/>
      <c r="B78" s="35"/>
      <c r="D78" s="16"/>
      <c r="E78" s="36"/>
      <c r="F78" s="78">
        <v>3120</v>
      </c>
      <c r="G78" s="37"/>
      <c r="H78" s="67"/>
      <c r="I78" s="67"/>
      <c r="J78" s="67"/>
      <c r="K78" s="67"/>
    </row>
    <row r="79" spans="1:11" ht="16.5" customHeight="1">
      <c r="A79" s="15"/>
      <c r="B79" s="35"/>
      <c r="D79" s="16"/>
      <c r="E79" s="36"/>
      <c r="F79" s="78">
        <v>3190</v>
      </c>
      <c r="G79" s="37"/>
      <c r="H79" s="67"/>
      <c r="I79" s="67"/>
      <c r="J79" s="67"/>
      <c r="K79" s="67"/>
    </row>
    <row r="80" spans="1:11" ht="16.5" customHeight="1">
      <c r="A80" s="15"/>
      <c r="B80" s="35"/>
      <c r="D80" s="16"/>
      <c r="E80" s="36">
        <v>3200</v>
      </c>
      <c r="F80" s="78">
        <v>3200</v>
      </c>
      <c r="G80" s="37"/>
      <c r="H80" s="67"/>
      <c r="I80" s="67"/>
      <c r="J80" s="67"/>
      <c r="K80" s="67"/>
    </row>
    <row r="81" spans="1:11" ht="16.5" customHeight="1">
      <c r="A81" s="15"/>
      <c r="B81" s="35"/>
      <c r="D81" s="16"/>
      <c r="E81" s="36"/>
      <c r="F81" s="78">
        <v>3210</v>
      </c>
      <c r="G81" s="37"/>
      <c r="H81" s="67"/>
      <c r="I81" s="67"/>
      <c r="J81" s="67"/>
      <c r="K81" s="67"/>
    </row>
    <row r="82" spans="1:11" ht="16.5" customHeight="1">
      <c r="A82" s="15"/>
      <c r="B82" s="35"/>
      <c r="D82" s="16"/>
      <c r="E82" s="36"/>
      <c r="F82" s="78">
        <v>3220</v>
      </c>
      <c r="G82" s="37"/>
      <c r="H82" s="67"/>
      <c r="I82" s="67"/>
      <c r="J82" s="67"/>
      <c r="K82" s="67"/>
    </row>
    <row r="83" spans="1:11" ht="16.5" customHeight="1">
      <c r="A83" s="15"/>
      <c r="B83" s="35"/>
      <c r="D83" s="16"/>
      <c r="E83" s="36"/>
      <c r="F83" s="78">
        <v>3223</v>
      </c>
      <c r="G83" s="37"/>
      <c r="H83" s="67"/>
      <c r="I83" s="67"/>
      <c r="J83" s="67"/>
      <c r="K83" s="67"/>
    </row>
    <row r="84" spans="1:11" ht="16.5" customHeight="1">
      <c r="A84" s="15"/>
      <c r="B84" s="35"/>
      <c r="D84" s="16"/>
      <c r="E84" s="36"/>
      <c r="F84" s="78">
        <v>3225</v>
      </c>
      <c r="G84" s="37"/>
      <c r="H84" s="67"/>
      <c r="I84" s="67"/>
      <c r="J84" s="67"/>
      <c r="K84" s="67"/>
    </row>
    <row r="85" spans="1:11" ht="16.5" customHeight="1">
      <c r="A85" s="15"/>
      <c r="B85" s="35"/>
      <c r="D85" s="16"/>
      <c r="E85" s="36"/>
      <c r="F85" s="78">
        <v>3230</v>
      </c>
      <c r="G85" s="37"/>
      <c r="H85" s="67"/>
      <c r="I85" s="67"/>
      <c r="J85" s="67"/>
      <c r="K85" s="67"/>
    </row>
    <row r="86" spans="1:11" ht="16.5" customHeight="1">
      <c r="A86" s="15"/>
      <c r="B86" s="35"/>
      <c r="D86" s="16"/>
      <c r="E86" s="36"/>
      <c r="F86" s="78">
        <v>3250</v>
      </c>
      <c r="G86" s="37"/>
      <c r="H86" s="67"/>
      <c r="I86" s="67"/>
      <c r="J86" s="67"/>
      <c r="K86" s="67"/>
    </row>
    <row r="87" spans="1:11" ht="16.5" customHeight="1">
      <c r="A87" s="15"/>
      <c r="B87" s="35"/>
      <c r="D87" s="16"/>
      <c r="E87" s="36"/>
      <c r="F87" s="78">
        <v>3255</v>
      </c>
      <c r="G87" s="37"/>
      <c r="H87" s="67"/>
      <c r="I87" s="67"/>
      <c r="J87" s="67"/>
      <c r="K87" s="67"/>
    </row>
    <row r="88" spans="1:11" ht="16.5" customHeight="1">
      <c r="A88" s="15"/>
      <c r="B88" s="35"/>
      <c r="D88" s="16"/>
      <c r="E88" s="36"/>
      <c r="F88" s="78">
        <v>3260</v>
      </c>
      <c r="G88" s="37"/>
      <c r="H88" s="67"/>
      <c r="I88" s="67"/>
      <c r="J88" s="67"/>
      <c r="K88" s="67"/>
    </row>
    <row r="89" spans="1:11" ht="16.5" customHeight="1">
      <c r="A89" s="15"/>
      <c r="B89" s="35"/>
      <c r="D89" s="16"/>
      <c r="E89" s="36"/>
      <c r="F89" s="78">
        <v>3290</v>
      </c>
      <c r="G89" s="37"/>
      <c r="H89" s="67"/>
      <c r="I89" s="67"/>
      <c r="J89" s="67"/>
      <c r="K89" s="67"/>
    </row>
    <row r="90" spans="1:11" ht="16.5" customHeight="1">
      <c r="A90" s="15"/>
      <c r="B90" s="35"/>
      <c r="D90" s="16"/>
      <c r="E90" s="36">
        <v>3800</v>
      </c>
      <c r="F90" s="78">
        <v>3800</v>
      </c>
      <c r="G90" s="37"/>
      <c r="H90" s="67"/>
      <c r="I90" s="67"/>
      <c r="J90" s="67"/>
      <c r="K90" s="67"/>
    </row>
    <row r="91" spans="1:11" ht="16.5" customHeight="1">
      <c r="A91" s="15"/>
      <c r="B91" s="35"/>
      <c r="D91" s="16"/>
      <c r="E91" s="36"/>
      <c r="F91" s="78">
        <v>3810</v>
      </c>
      <c r="G91" s="37"/>
      <c r="H91" s="67"/>
      <c r="I91" s="67"/>
      <c r="J91" s="67"/>
      <c r="K91" s="67"/>
    </row>
    <row r="92" spans="1:11" ht="16.5" customHeight="1">
      <c r="A92" s="15"/>
      <c r="B92" s="35"/>
      <c r="D92" s="16"/>
      <c r="E92" s="36"/>
      <c r="F92" s="78">
        <v>3815</v>
      </c>
      <c r="G92" s="37"/>
      <c r="H92" s="67"/>
      <c r="I92" s="67"/>
      <c r="J92" s="67"/>
      <c r="K92" s="67"/>
    </row>
    <row r="93" spans="1:11" ht="16.5" customHeight="1">
      <c r="A93" s="15"/>
      <c r="B93" s="35"/>
      <c r="D93" s="16"/>
      <c r="E93" s="36"/>
      <c r="F93" s="78">
        <v>3820</v>
      </c>
      <c r="G93" s="37"/>
      <c r="H93" s="67"/>
      <c r="I93" s="67"/>
      <c r="J93" s="67"/>
      <c r="K93" s="67"/>
    </row>
    <row r="94" spans="1:11" ht="16.5" customHeight="1">
      <c r="A94" s="15"/>
      <c r="B94" s="35"/>
      <c r="D94" s="16"/>
      <c r="E94" s="36"/>
      <c r="F94" s="78">
        <v>3890</v>
      </c>
      <c r="G94" s="37"/>
      <c r="H94" s="67"/>
      <c r="I94" s="67"/>
      <c r="J94" s="67"/>
      <c r="K94" s="67"/>
    </row>
    <row r="95" spans="1:11" ht="16.5" customHeight="1">
      <c r="A95" s="15"/>
      <c r="B95" s="35"/>
      <c r="D95" s="16"/>
      <c r="E95" s="36">
        <v>3900</v>
      </c>
      <c r="F95" s="78">
        <v>3900</v>
      </c>
      <c r="G95" s="37"/>
      <c r="H95" s="67"/>
      <c r="I95" s="67"/>
      <c r="J95" s="67"/>
      <c r="K95" s="67"/>
    </row>
    <row r="96" spans="1:11" ht="16.5" customHeight="1">
      <c r="A96" s="15"/>
      <c r="B96" s="35"/>
      <c r="D96" s="16"/>
      <c r="E96" s="36"/>
      <c r="F96" s="78">
        <v>3910</v>
      </c>
      <c r="G96" s="37"/>
      <c r="H96" s="67"/>
      <c r="I96" s="67"/>
      <c r="J96" s="67"/>
      <c r="K96" s="67"/>
    </row>
    <row r="97" spans="1:11" ht="16.5" customHeight="1">
      <c r="A97" s="15"/>
      <c r="B97" s="35"/>
      <c r="D97" s="16"/>
      <c r="E97" s="36"/>
      <c r="F97" s="78">
        <v>3990</v>
      </c>
      <c r="G97" s="37"/>
      <c r="H97" s="67"/>
      <c r="I97" s="67"/>
      <c r="J97" s="67"/>
      <c r="K97" s="67"/>
    </row>
    <row r="98" spans="1:11" ht="16.5" customHeight="1">
      <c r="A98" s="15"/>
      <c r="B98" s="35" t="s">
        <v>129</v>
      </c>
      <c r="D98" s="16"/>
      <c r="E98" s="36" t="s">
        <v>22</v>
      </c>
      <c r="F98" s="78"/>
      <c r="G98" s="37" t="s">
        <v>25</v>
      </c>
      <c r="H98" s="67"/>
      <c r="I98" s="67"/>
      <c r="J98" s="67"/>
      <c r="K98" s="67"/>
    </row>
    <row r="99" spans="1:11" ht="16.5" customHeight="1">
      <c r="A99" s="15"/>
      <c r="B99" s="35"/>
      <c r="D99" s="16"/>
      <c r="E99" s="36">
        <v>3100</v>
      </c>
      <c r="F99" s="78">
        <v>3100</v>
      </c>
      <c r="G99" s="37"/>
      <c r="H99" s="67"/>
      <c r="I99" s="67"/>
      <c r="J99" s="67"/>
      <c r="K99" s="67"/>
    </row>
    <row r="100" spans="1:11" ht="16.5" customHeight="1">
      <c r="A100" s="15"/>
      <c r="B100" s="35"/>
      <c r="D100" s="16"/>
      <c r="E100" s="36"/>
      <c r="F100" s="78">
        <v>3110</v>
      </c>
      <c r="G100" s="37"/>
      <c r="H100" s="67"/>
      <c r="I100" s="67"/>
      <c r="J100" s="67"/>
      <c r="K100" s="67"/>
    </row>
    <row r="101" spans="1:11" ht="16.5" customHeight="1">
      <c r="A101" s="15"/>
      <c r="B101" s="35"/>
      <c r="D101" s="16"/>
      <c r="E101" s="36"/>
      <c r="F101" s="78">
        <v>3115</v>
      </c>
      <c r="G101" s="37"/>
      <c r="H101" s="67"/>
      <c r="I101" s="67"/>
      <c r="J101" s="67"/>
      <c r="K101" s="67"/>
    </row>
    <row r="102" spans="1:11" ht="16.5" customHeight="1">
      <c r="A102" s="15"/>
      <c r="B102" s="35"/>
      <c r="D102" s="16"/>
      <c r="E102" s="36"/>
      <c r="F102" s="78">
        <v>3120</v>
      </c>
      <c r="G102" s="37"/>
      <c r="H102" s="67"/>
      <c r="I102" s="67"/>
      <c r="J102" s="67"/>
      <c r="K102" s="67"/>
    </row>
    <row r="103" spans="1:11" ht="16.5" customHeight="1">
      <c r="A103" s="15"/>
      <c r="B103" s="35"/>
      <c r="D103" s="16"/>
      <c r="E103" s="36"/>
      <c r="F103" s="78">
        <v>3190</v>
      </c>
      <c r="G103" s="37"/>
      <c r="H103" s="67"/>
      <c r="I103" s="67"/>
      <c r="J103" s="67"/>
      <c r="K103" s="67"/>
    </row>
    <row r="104" spans="1:11" ht="16.5" customHeight="1">
      <c r="A104" s="15"/>
      <c r="B104" s="35"/>
      <c r="D104" s="16"/>
      <c r="E104" s="36">
        <v>3200</v>
      </c>
      <c r="F104" s="78">
        <v>3200</v>
      </c>
      <c r="G104" s="37"/>
      <c r="H104" s="67"/>
      <c r="I104" s="67"/>
      <c r="J104" s="67"/>
      <c r="K104" s="67"/>
    </row>
    <row r="105" spans="1:11" ht="16.5" customHeight="1">
      <c r="A105" s="15"/>
      <c r="B105" s="35"/>
      <c r="D105" s="16"/>
      <c r="E105" s="36"/>
      <c r="F105" s="78">
        <v>3210</v>
      </c>
      <c r="G105" s="37"/>
      <c r="H105" s="67"/>
      <c r="I105" s="67"/>
      <c r="J105" s="67"/>
      <c r="K105" s="67"/>
    </row>
    <row r="106" spans="1:11" ht="16.5" customHeight="1">
      <c r="A106" s="15"/>
      <c r="B106" s="35"/>
      <c r="D106" s="16"/>
      <c r="E106" s="36"/>
      <c r="F106" s="78">
        <v>3220</v>
      </c>
      <c r="G106" s="37"/>
      <c r="H106" s="67"/>
      <c r="I106" s="67"/>
      <c r="J106" s="67"/>
      <c r="K106" s="67"/>
    </row>
    <row r="107" spans="1:11" ht="16.5" customHeight="1">
      <c r="A107" s="15"/>
      <c r="B107" s="35"/>
      <c r="D107" s="16"/>
      <c r="E107" s="36"/>
      <c r="F107" s="78">
        <v>3223</v>
      </c>
      <c r="G107" s="37"/>
      <c r="H107" s="67"/>
      <c r="I107" s="67"/>
      <c r="J107" s="67"/>
      <c r="K107" s="67"/>
    </row>
    <row r="108" spans="1:11" ht="16.5" customHeight="1">
      <c r="A108" s="15"/>
      <c r="B108" s="35"/>
      <c r="D108" s="16"/>
      <c r="E108" s="36"/>
      <c r="F108" s="78">
        <v>3225</v>
      </c>
      <c r="G108" s="37"/>
      <c r="H108" s="67"/>
      <c r="I108" s="67"/>
      <c r="J108" s="67"/>
      <c r="K108" s="67"/>
    </row>
    <row r="109" spans="1:11" ht="16.5" customHeight="1">
      <c r="A109" s="15"/>
      <c r="B109" s="35"/>
      <c r="D109" s="16"/>
      <c r="E109" s="36"/>
      <c r="F109" s="78">
        <v>3230</v>
      </c>
      <c r="G109" s="37"/>
      <c r="H109" s="67"/>
      <c r="I109" s="67"/>
      <c r="J109" s="67"/>
      <c r="K109" s="67"/>
    </row>
    <row r="110" spans="1:11" ht="16.5" customHeight="1">
      <c r="A110" s="15"/>
      <c r="B110" s="35"/>
      <c r="D110" s="16"/>
      <c r="E110" s="36"/>
      <c r="F110" s="78">
        <v>3250</v>
      </c>
      <c r="G110" s="37"/>
      <c r="H110" s="67"/>
      <c r="I110" s="67"/>
      <c r="J110" s="67"/>
      <c r="K110" s="67"/>
    </row>
    <row r="111" spans="1:11" ht="16.5" customHeight="1">
      <c r="A111" s="15"/>
      <c r="B111" s="35"/>
      <c r="D111" s="16"/>
      <c r="E111" s="36"/>
      <c r="F111" s="78">
        <v>3255</v>
      </c>
      <c r="G111" s="37"/>
      <c r="H111" s="67"/>
      <c r="I111" s="67"/>
      <c r="J111" s="67"/>
      <c r="K111" s="67"/>
    </row>
    <row r="112" spans="1:11" ht="16.5" customHeight="1">
      <c r="A112" s="15"/>
      <c r="B112" s="35"/>
      <c r="D112" s="16"/>
      <c r="E112" s="36"/>
      <c r="F112" s="78">
        <v>3260</v>
      </c>
      <c r="G112" s="37"/>
      <c r="H112" s="67"/>
      <c r="I112" s="67"/>
      <c r="J112" s="67"/>
      <c r="K112" s="67"/>
    </row>
    <row r="113" spans="1:11" ht="16.5" customHeight="1">
      <c r="A113" s="15"/>
      <c r="B113" s="35"/>
      <c r="D113" s="16"/>
      <c r="E113" s="36"/>
      <c r="F113" s="78">
        <v>3290</v>
      </c>
      <c r="G113" s="37"/>
      <c r="H113" s="67"/>
      <c r="I113" s="67"/>
      <c r="J113" s="67"/>
      <c r="K113" s="67"/>
    </row>
    <row r="114" spans="1:11" ht="16.5" customHeight="1">
      <c r="A114" s="15"/>
      <c r="B114" s="35"/>
      <c r="D114" s="16"/>
      <c r="E114" s="36">
        <v>3800</v>
      </c>
      <c r="F114" s="78">
        <v>3800</v>
      </c>
      <c r="G114" s="37"/>
      <c r="H114" s="67"/>
      <c r="I114" s="67"/>
      <c r="J114" s="67"/>
      <c r="K114" s="67"/>
    </row>
    <row r="115" spans="1:11" ht="16.5" customHeight="1">
      <c r="A115" s="15"/>
      <c r="B115" s="35"/>
      <c r="D115" s="16"/>
      <c r="E115" s="36"/>
      <c r="F115" s="78">
        <v>3810</v>
      </c>
      <c r="G115" s="37"/>
      <c r="H115" s="67"/>
      <c r="I115" s="67"/>
      <c r="J115" s="67"/>
      <c r="K115" s="67"/>
    </row>
    <row r="116" spans="1:11" ht="16.5" customHeight="1">
      <c r="A116" s="15"/>
      <c r="B116" s="35"/>
      <c r="D116" s="16"/>
      <c r="E116" s="36"/>
      <c r="F116" s="78">
        <v>3815</v>
      </c>
      <c r="G116" s="37"/>
      <c r="H116" s="67"/>
      <c r="I116" s="67"/>
      <c r="J116" s="67"/>
      <c r="K116" s="67"/>
    </row>
    <row r="117" spans="1:11" ht="16.5" customHeight="1">
      <c r="A117" s="15"/>
      <c r="B117" s="35"/>
      <c r="D117" s="16"/>
      <c r="E117" s="36"/>
      <c r="F117" s="78">
        <v>3820</v>
      </c>
      <c r="G117" s="37"/>
      <c r="H117" s="67"/>
      <c r="I117" s="67"/>
      <c r="J117" s="67"/>
      <c r="K117" s="67"/>
    </row>
    <row r="118" spans="1:11" ht="16.5" customHeight="1">
      <c r="A118" s="15"/>
      <c r="B118" s="35"/>
      <c r="D118" s="16"/>
      <c r="E118" s="36"/>
      <c r="F118" s="78">
        <v>3890</v>
      </c>
      <c r="G118" s="37"/>
      <c r="H118" s="67"/>
      <c r="I118" s="67"/>
      <c r="J118" s="67"/>
      <c r="K118" s="67"/>
    </row>
    <row r="119" spans="1:11" ht="16.5" customHeight="1">
      <c r="A119" s="15"/>
      <c r="B119" s="35"/>
      <c r="D119" s="16"/>
      <c r="E119" s="36">
        <v>3900</v>
      </c>
      <c r="F119" s="78">
        <v>3900</v>
      </c>
      <c r="G119" s="37"/>
      <c r="H119" s="67"/>
      <c r="I119" s="67"/>
      <c r="J119" s="67"/>
      <c r="K119" s="67"/>
    </row>
    <row r="120" spans="1:11" ht="16.5" customHeight="1">
      <c r="A120" s="15"/>
      <c r="B120" s="35"/>
      <c r="D120" s="16"/>
      <c r="E120" s="36"/>
      <c r="F120" s="78">
        <v>3910</v>
      </c>
      <c r="G120" s="37"/>
      <c r="H120" s="67"/>
      <c r="I120" s="67"/>
      <c r="J120" s="67"/>
      <c r="K120" s="67"/>
    </row>
    <row r="121" spans="1:11" ht="16.5" customHeight="1">
      <c r="A121" s="15"/>
      <c r="B121" s="35"/>
      <c r="D121" s="16"/>
      <c r="E121" s="36"/>
      <c r="F121" s="78">
        <v>3990</v>
      </c>
      <c r="G121" s="37"/>
      <c r="H121" s="67"/>
      <c r="I121" s="67"/>
      <c r="J121" s="67"/>
      <c r="K121" s="67"/>
    </row>
    <row r="122" spans="1:13" ht="16.5" customHeight="1">
      <c r="A122" s="15"/>
      <c r="B122" s="35" t="s">
        <v>26</v>
      </c>
      <c r="D122" s="16"/>
      <c r="E122" s="39" t="s">
        <v>27</v>
      </c>
      <c r="F122" s="79"/>
      <c r="G122" s="40" t="s">
        <v>28</v>
      </c>
      <c r="H122" s="69"/>
      <c r="I122" s="69"/>
      <c r="J122" s="69"/>
      <c r="K122" s="69"/>
      <c r="M122" s="1" t="s">
        <v>21</v>
      </c>
    </row>
    <row r="123" spans="1:11" ht="16.5" customHeight="1">
      <c r="A123" s="15"/>
      <c r="B123" s="35"/>
      <c r="D123" s="16"/>
      <c r="E123" s="39">
        <v>4100</v>
      </c>
      <c r="F123" s="79">
        <v>4100</v>
      </c>
      <c r="G123" s="40"/>
      <c r="H123" s="69"/>
      <c r="I123" s="69"/>
      <c r="J123" s="69"/>
      <c r="K123" s="69"/>
    </row>
    <row r="124" spans="1:11" ht="16.5" customHeight="1">
      <c r="A124" s="15"/>
      <c r="B124" s="35"/>
      <c r="D124" s="16"/>
      <c r="E124" s="39"/>
      <c r="F124" s="79">
        <v>4110</v>
      </c>
      <c r="G124" s="40"/>
      <c r="H124" s="69"/>
      <c r="I124" s="69"/>
      <c r="J124" s="69"/>
      <c r="K124" s="69"/>
    </row>
    <row r="125" spans="1:11" ht="16.5" customHeight="1">
      <c r="A125" s="15"/>
      <c r="B125" s="35"/>
      <c r="D125" s="16"/>
      <c r="E125" s="39"/>
      <c r="F125" s="79">
        <v>4190</v>
      </c>
      <c r="G125" s="40"/>
      <c r="H125" s="69"/>
      <c r="I125" s="69"/>
      <c r="J125" s="69"/>
      <c r="K125" s="69"/>
    </row>
    <row r="126" spans="1:11" ht="16.5" customHeight="1">
      <c r="A126" s="15"/>
      <c r="B126" s="35"/>
      <c r="D126" s="16"/>
      <c r="E126" s="39">
        <v>4200</v>
      </c>
      <c r="F126" s="79">
        <v>4200</v>
      </c>
      <c r="G126" s="40"/>
      <c r="H126" s="69"/>
      <c r="I126" s="69"/>
      <c r="J126" s="69"/>
      <c r="K126" s="69"/>
    </row>
    <row r="127" spans="1:11" ht="16.5" customHeight="1">
      <c r="A127" s="15"/>
      <c r="B127" s="35"/>
      <c r="D127" s="16"/>
      <c r="E127" s="39"/>
      <c r="F127" s="79">
        <v>4210</v>
      </c>
      <c r="G127" s="40"/>
      <c r="H127" s="69"/>
      <c r="I127" s="69"/>
      <c r="J127" s="69"/>
      <c r="K127" s="69"/>
    </row>
    <row r="128" spans="1:11" ht="16.5" customHeight="1">
      <c r="A128" s="15"/>
      <c r="B128" s="35"/>
      <c r="D128" s="16"/>
      <c r="E128" s="39"/>
      <c r="F128" s="79">
        <v>4290</v>
      </c>
      <c r="G128" s="40"/>
      <c r="H128" s="69"/>
      <c r="I128" s="69"/>
      <c r="J128" s="69"/>
      <c r="K128" s="69"/>
    </row>
    <row r="129" spans="1:11" ht="16.5" customHeight="1">
      <c r="A129" s="15"/>
      <c r="B129" s="35"/>
      <c r="D129" s="16"/>
      <c r="E129" s="39">
        <v>4300</v>
      </c>
      <c r="F129" s="79">
        <v>4300</v>
      </c>
      <c r="G129" s="40"/>
      <c r="H129" s="69"/>
      <c r="I129" s="69"/>
      <c r="J129" s="69"/>
      <c r="K129" s="69"/>
    </row>
    <row r="130" spans="1:11" ht="16.5" customHeight="1">
      <c r="A130" s="15"/>
      <c r="B130" s="35"/>
      <c r="D130" s="16"/>
      <c r="E130" s="39"/>
      <c r="F130" s="79">
        <v>4310</v>
      </c>
      <c r="G130" s="40"/>
      <c r="H130" s="69"/>
      <c r="I130" s="69"/>
      <c r="J130" s="69"/>
      <c r="K130" s="69"/>
    </row>
    <row r="131" spans="1:11" ht="16.5" customHeight="1">
      <c r="A131" s="15"/>
      <c r="B131" s="35"/>
      <c r="D131" s="16"/>
      <c r="E131" s="39"/>
      <c r="F131" s="79">
        <v>4320</v>
      </c>
      <c r="G131" s="40"/>
      <c r="H131" s="69"/>
      <c r="I131" s="69"/>
      <c r="J131" s="69"/>
      <c r="K131" s="69"/>
    </row>
    <row r="132" spans="1:11" ht="16.5" customHeight="1">
      <c r="A132" s="15"/>
      <c r="B132" s="35"/>
      <c r="D132" s="16"/>
      <c r="E132" s="39"/>
      <c r="F132" s="79">
        <v>4330</v>
      </c>
      <c r="G132" s="40"/>
      <c r="H132" s="69"/>
      <c r="I132" s="69"/>
      <c r="J132" s="69"/>
      <c r="K132" s="69"/>
    </row>
    <row r="133" spans="1:11" ht="16.5" customHeight="1">
      <c r="A133" s="15"/>
      <c r="B133" s="35"/>
      <c r="D133" s="16"/>
      <c r="E133" s="39"/>
      <c r="F133" s="79">
        <v>4340</v>
      </c>
      <c r="G133" s="40"/>
      <c r="H133" s="69"/>
      <c r="I133" s="69"/>
      <c r="J133" s="69"/>
      <c r="K133" s="69"/>
    </row>
    <row r="134" spans="1:11" ht="16.5" customHeight="1">
      <c r="A134" s="15"/>
      <c r="B134" s="35"/>
      <c r="D134" s="16"/>
      <c r="E134" s="39"/>
      <c r="F134" s="79">
        <v>4390</v>
      </c>
      <c r="G134" s="40"/>
      <c r="H134" s="69"/>
      <c r="I134" s="69"/>
      <c r="J134" s="69"/>
      <c r="K134" s="69"/>
    </row>
    <row r="135" spans="1:11" ht="16.5" customHeight="1">
      <c r="A135" s="15"/>
      <c r="B135" s="35"/>
      <c r="D135" s="16"/>
      <c r="E135" s="39">
        <v>4500</v>
      </c>
      <c r="F135" s="79">
        <v>4500</v>
      </c>
      <c r="G135" s="40"/>
      <c r="H135" s="69"/>
      <c r="I135" s="69"/>
      <c r="J135" s="69"/>
      <c r="K135" s="69"/>
    </row>
    <row r="136" spans="1:11" ht="16.5" customHeight="1">
      <c r="A136" s="15"/>
      <c r="B136" s="35"/>
      <c r="D136" s="16"/>
      <c r="E136" s="39"/>
      <c r="F136" s="79">
        <v>4510</v>
      </c>
      <c r="G136" s="40"/>
      <c r="H136" s="69"/>
      <c r="I136" s="69"/>
      <c r="J136" s="69"/>
      <c r="K136" s="69"/>
    </row>
    <row r="137" spans="1:11" ht="16.5" customHeight="1">
      <c r="A137" s="15"/>
      <c r="B137" s="35"/>
      <c r="D137" s="16"/>
      <c r="E137" s="39"/>
      <c r="F137" s="79">
        <v>4515</v>
      </c>
      <c r="G137" s="40" t="s">
        <v>141</v>
      </c>
      <c r="H137" s="69"/>
      <c r="I137" s="69"/>
      <c r="J137" s="69"/>
      <c r="K137" s="69"/>
    </row>
    <row r="138" spans="1:11" ht="16.5" customHeight="1">
      <c r="A138" s="15"/>
      <c r="B138" s="35"/>
      <c r="D138" s="16"/>
      <c r="E138" s="39"/>
      <c r="F138" s="79">
        <v>4520</v>
      </c>
      <c r="G138" s="40"/>
      <c r="H138" s="69"/>
      <c r="I138" s="69"/>
      <c r="J138" s="69"/>
      <c r="K138" s="69"/>
    </row>
    <row r="139" spans="1:11" ht="16.5" customHeight="1">
      <c r="A139" s="15"/>
      <c r="B139" s="35"/>
      <c r="D139" s="16"/>
      <c r="E139" s="39"/>
      <c r="F139" s="79">
        <v>4530</v>
      </c>
      <c r="G139" s="40" t="s">
        <v>144</v>
      </c>
      <c r="H139" s="69"/>
      <c r="I139" s="69"/>
      <c r="J139" s="69"/>
      <c r="K139" s="69"/>
    </row>
    <row r="140" spans="1:11" ht="16.5" customHeight="1">
      <c r="A140" s="15"/>
      <c r="B140" s="35"/>
      <c r="D140" s="16"/>
      <c r="E140" s="39"/>
      <c r="F140" s="79">
        <v>4531</v>
      </c>
      <c r="G140" s="40" t="s">
        <v>142</v>
      </c>
      <c r="H140" s="69"/>
      <c r="I140" s="69"/>
      <c r="J140" s="69"/>
      <c r="K140" s="69"/>
    </row>
    <row r="141" spans="1:11" ht="16.5" customHeight="1">
      <c r="A141" s="15"/>
      <c r="B141" s="35"/>
      <c r="D141" s="16"/>
      <c r="E141" s="39"/>
      <c r="F141" s="79">
        <v>4532</v>
      </c>
      <c r="G141" s="40" t="s">
        <v>143</v>
      </c>
      <c r="H141" s="69"/>
      <c r="I141" s="69"/>
      <c r="J141" s="69"/>
      <c r="K141" s="69"/>
    </row>
    <row r="142" spans="1:11" ht="16.5" customHeight="1">
      <c r="A142" s="15"/>
      <c r="B142" s="35"/>
      <c r="D142" s="16"/>
      <c r="E142" s="39"/>
      <c r="F142" s="79">
        <v>4533</v>
      </c>
      <c r="G142" s="40"/>
      <c r="H142" s="69"/>
      <c r="I142" s="69"/>
      <c r="J142" s="69"/>
      <c r="K142" s="69"/>
    </row>
    <row r="143" spans="1:11" ht="16.5" customHeight="1">
      <c r="A143" s="15"/>
      <c r="B143" s="35"/>
      <c r="D143" s="16"/>
      <c r="E143" s="39"/>
      <c r="F143" s="79">
        <v>4534</v>
      </c>
      <c r="G143" s="40"/>
      <c r="H143" s="69"/>
      <c r="I143" s="69"/>
      <c r="J143" s="69"/>
      <c r="K143" s="69"/>
    </row>
    <row r="144" spans="1:11" ht="16.5" customHeight="1">
      <c r="A144" s="15"/>
      <c r="B144" s="35"/>
      <c r="D144" s="16"/>
      <c r="E144" s="39"/>
      <c r="F144" s="79">
        <v>4535</v>
      </c>
      <c r="G144" s="40"/>
      <c r="H144" s="69"/>
      <c r="I144" s="69"/>
      <c r="J144" s="69"/>
      <c r="K144" s="69"/>
    </row>
    <row r="145" spans="1:11" ht="16.5" customHeight="1">
      <c r="A145" s="15"/>
      <c r="B145" s="35"/>
      <c r="D145" s="16"/>
      <c r="E145" s="39"/>
      <c r="F145" s="79">
        <v>4540</v>
      </c>
      <c r="G145" s="40"/>
      <c r="H145" s="69"/>
      <c r="I145" s="69"/>
      <c r="J145" s="69"/>
      <c r="K145" s="69"/>
    </row>
    <row r="146" spans="1:11" ht="16.5" customHeight="1">
      <c r="A146" s="15"/>
      <c r="B146" s="35"/>
      <c r="D146" s="16"/>
      <c r="E146" s="39"/>
      <c r="F146" s="79">
        <v>4541</v>
      </c>
      <c r="G146" s="40" t="s">
        <v>145</v>
      </c>
      <c r="H146" s="69"/>
      <c r="I146" s="69"/>
      <c r="J146" s="69"/>
      <c r="K146" s="69"/>
    </row>
    <row r="147" spans="1:11" ht="16.5" customHeight="1">
      <c r="A147" s="15"/>
      <c r="B147" s="35"/>
      <c r="D147" s="16"/>
      <c r="E147" s="39"/>
      <c r="F147" s="79">
        <v>4542</v>
      </c>
      <c r="G147" s="40"/>
      <c r="H147" s="69"/>
      <c r="I147" s="69"/>
      <c r="J147" s="69"/>
      <c r="K147" s="69"/>
    </row>
    <row r="148" spans="1:11" ht="16.5" customHeight="1">
      <c r="A148" s="15"/>
      <c r="B148" s="35"/>
      <c r="D148" s="16"/>
      <c r="E148" s="39"/>
      <c r="F148" s="79">
        <v>4543</v>
      </c>
      <c r="G148" s="40"/>
      <c r="H148" s="69"/>
      <c r="I148" s="69"/>
      <c r="J148" s="69"/>
      <c r="K148" s="69"/>
    </row>
    <row r="149" spans="1:11" ht="16.5" customHeight="1">
      <c r="A149" s="15"/>
      <c r="B149" s="35"/>
      <c r="D149" s="16"/>
      <c r="E149" s="39"/>
      <c r="F149" s="79">
        <v>4544</v>
      </c>
      <c r="G149" s="40" t="s">
        <v>146</v>
      </c>
      <c r="H149" s="69"/>
      <c r="I149" s="69"/>
      <c r="J149" s="69"/>
      <c r="K149" s="69"/>
    </row>
    <row r="150" spans="1:11" ht="16.5" customHeight="1">
      <c r="A150" s="15"/>
      <c r="B150" s="35"/>
      <c r="D150" s="16"/>
      <c r="E150" s="39"/>
      <c r="F150" s="79">
        <v>4545</v>
      </c>
      <c r="G150" s="40" t="s">
        <v>147</v>
      </c>
      <c r="H150" s="69"/>
      <c r="I150" s="69"/>
      <c r="J150" s="69"/>
      <c r="K150" s="69"/>
    </row>
    <row r="151" spans="1:11" ht="16.5" customHeight="1">
      <c r="A151" s="15"/>
      <c r="B151" s="35"/>
      <c r="D151" s="16"/>
      <c r="E151" s="39"/>
      <c r="F151" s="79">
        <v>4546</v>
      </c>
      <c r="G151" s="40"/>
      <c r="H151" s="69"/>
      <c r="I151" s="69"/>
      <c r="J151" s="69"/>
      <c r="K151" s="69"/>
    </row>
    <row r="152" spans="1:11" ht="16.5" customHeight="1">
      <c r="A152" s="15"/>
      <c r="B152" s="35"/>
      <c r="D152" s="16"/>
      <c r="E152" s="39"/>
      <c r="F152" s="79">
        <v>4550</v>
      </c>
      <c r="G152" s="40"/>
      <c r="H152" s="69"/>
      <c r="I152" s="69"/>
      <c r="J152" s="69"/>
      <c r="K152" s="69"/>
    </row>
    <row r="153" spans="1:11" ht="16.5" customHeight="1">
      <c r="A153" s="15"/>
      <c r="B153" s="35"/>
      <c r="D153" s="16"/>
      <c r="E153" s="39"/>
      <c r="F153" s="79">
        <v>4580</v>
      </c>
      <c r="G153" s="40"/>
      <c r="H153" s="69"/>
      <c r="I153" s="69"/>
      <c r="J153" s="69"/>
      <c r="K153" s="69"/>
    </row>
    <row r="154" spans="1:11" ht="16.5" customHeight="1">
      <c r="A154" s="15"/>
      <c r="B154" s="35"/>
      <c r="D154" s="16"/>
      <c r="E154" s="39"/>
      <c r="F154" s="79">
        <v>4585</v>
      </c>
      <c r="G154" s="40"/>
      <c r="H154" s="69"/>
      <c r="I154" s="69"/>
      <c r="J154" s="69"/>
      <c r="K154" s="69"/>
    </row>
    <row r="155" spans="1:11" ht="16.5" customHeight="1">
      <c r="A155" s="15"/>
      <c r="B155" s="35"/>
      <c r="D155" s="16"/>
      <c r="E155" s="39"/>
      <c r="F155" s="79">
        <v>4590</v>
      </c>
      <c r="G155" s="40"/>
      <c r="H155" s="69"/>
      <c r="I155" s="69"/>
      <c r="J155" s="69"/>
      <c r="K155" s="69"/>
    </row>
    <row r="156" spans="1:11" ht="16.5" customHeight="1">
      <c r="A156" s="15"/>
      <c r="B156" s="35"/>
      <c r="D156" s="16"/>
      <c r="E156" s="39">
        <v>4800</v>
      </c>
      <c r="F156" s="79">
        <v>4800</v>
      </c>
      <c r="G156" s="40"/>
      <c r="H156" s="69"/>
      <c r="I156" s="69"/>
      <c r="J156" s="69"/>
      <c r="K156" s="69"/>
    </row>
    <row r="157" spans="1:11" ht="16.5" customHeight="1">
      <c r="A157" s="15"/>
      <c r="B157" s="35"/>
      <c r="D157" s="16"/>
      <c r="E157" s="39"/>
      <c r="F157" s="79">
        <v>4810</v>
      </c>
      <c r="G157" s="40"/>
      <c r="H157" s="69"/>
      <c r="I157" s="69"/>
      <c r="J157" s="69"/>
      <c r="K157" s="69"/>
    </row>
    <row r="158" spans="1:11" ht="16.5" customHeight="1">
      <c r="A158" s="15"/>
      <c r="B158" s="35"/>
      <c r="D158" s="16"/>
      <c r="E158" s="39"/>
      <c r="F158" s="79">
        <v>4820</v>
      </c>
      <c r="G158" s="40"/>
      <c r="H158" s="69"/>
      <c r="I158" s="69"/>
      <c r="J158" s="69"/>
      <c r="K158" s="69"/>
    </row>
    <row r="159" spans="1:11" ht="16.5" customHeight="1">
      <c r="A159" s="15"/>
      <c r="B159" s="35"/>
      <c r="D159" s="16"/>
      <c r="E159" s="39"/>
      <c r="F159" s="79">
        <v>4890</v>
      </c>
      <c r="G159" s="40"/>
      <c r="H159" s="69"/>
      <c r="I159" s="69"/>
      <c r="J159" s="69"/>
      <c r="K159" s="69"/>
    </row>
    <row r="160" spans="1:11" ht="16.5" customHeight="1">
      <c r="A160" s="15"/>
      <c r="B160" s="35"/>
      <c r="D160" s="16"/>
      <c r="E160" s="39">
        <v>4900</v>
      </c>
      <c r="F160" s="79">
        <v>4900</v>
      </c>
      <c r="G160" s="40"/>
      <c r="H160" s="69"/>
      <c r="I160" s="69"/>
      <c r="J160" s="69"/>
      <c r="K160" s="69"/>
    </row>
    <row r="161" spans="1:11" ht="16.5" customHeight="1">
      <c r="A161" s="15"/>
      <c r="B161" s="35"/>
      <c r="D161" s="16"/>
      <c r="E161" s="39"/>
      <c r="F161" s="79">
        <v>4910</v>
      </c>
      <c r="G161" s="40"/>
      <c r="H161" s="69"/>
      <c r="I161" s="69"/>
      <c r="J161" s="69"/>
      <c r="K161" s="69"/>
    </row>
    <row r="162" spans="1:11" ht="16.5" customHeight="1">
      <c r="A162" s="15"/>
      <c r="B162" s="35"/>
      <c r="D162" s="16"/>
      <c r="E162" s="39"/>
      <c r="F162" s="79">
        <v>4920</v>
      </c>
      <c r="G162" s="40"/>
      <c r="H162" s="69"/>
      <c r="I162" s="69"/>
      <c r="J162" s="69"/>
      <c r="K162" s="69"/>
    </row>
    <row r="163" spans="1:11" ht="16.5" customHeight="1" thickBot="1">
      <c r="A163" s="15"/>
      <c r="B163" s="35"/>
      <c r="D163" s="16"/>
      <c r="E163" s="39"/>
      <c r="F163" s="79">
        <v>4990</v>
      </c>
      <c r="G163" s="40"/>
      <c r="H163" s="69"/>
      <c r="I163" s="69"/>
      <c r="J163" s="69"/>
      <c r="K163" s="69"/>
    </row>
    <row r="164" spans="1:13" ht="16.5" customHeight="1" thickBot="1">
      <c r="A164" s="41"/>
      <c r="B164" s="42"/>
      <c r="C164" s="43" t="s">
        <v>29</v>
      </c>
      <c r="D164" s="44"/>
      <c r="E164" s="45"/>
      <c r="F164" s="42"/>
      <c r="G164" s="54" t="s">
        <v>30</v>
      </c>
      <c r="H164" s="63">
        <f>SUM(H13:H122)</f>
        <v>0</v>
      </c>
      <c r="I164" s="63">
        <f>SUM(I13:I122)</f>
        <v>0</v>
      </c>
      <c r="J164" s="63">
        <f>SUM(J13:J122)</f>
        <v>0</v>
      </c>
      <c r="K164" s="63">
        <f>SUM(K13:K122)</f>
        <v>0</v>
      </c>
      <c r="M164" s="1" t="s">
        <v>31</v>
      </c>
    </row>
    <row r="165" spans="1:13" ht="24.75" customHeight="1">
      <c r="A165" s="15"/>
      <c r="B165" s="35" t="s">
        <v>32</v>
      </c>
      <c r="D165" s="16"/>
      <c r="E165" s="36" t="s">
        <v>33</v>
      </c>
      <c r="F165" s="78"/>
      <c r="G165" s="37" t="s">
        <v>34</v>
      </c>
      <c r="H165" s="67"/>
      <c r="I165" s="67"/>
      <c r="J165" s="67"/>
      <c r="K165" s="67"/>
      <c r="M165" s="1" t="s">
        <v>21</v>
      </c>
    </row>
    <row r="166" spans="1:11" ht="24.75" customHeight="1">
      <c r="A166" s="15"/>
      <c r="B166" s="35"/>
      <c r="D166" s="16"/>
      <c r="E166" s="36">
        <v>5100</v>
      </c>
      <c r="F166" s="78">
        <v>5100</v>
      </c>
      <c r="G166" s="37"/>
      <c r="H166" s="67"/>
      <c r="I166" s="67"/>
      <c r="J166" s="67"/>
      <c r="K166" s="67"/>
    </row>
    <row r="167" spans="1:11" ht="24.75" customHeight="1">
      <c r="A167" s="15"/>
      <c r="B167" s="35"/>
      <c r="D167" s="16"/>
      <c r="E167" s="36"/>
      <c r="F167" s="78">
        <v>5110</v>
      </c>
      <c r="G167" s="37"/>
      <c r="H167" s="67"/>
      <c r="I167" s="67"/>
      <c r="J167" s="67"/>
      <c r="K167" s="67"/>
    </row>
    <row r="168" spans="1:11" ht="24.75" customHeight="1">
      <c r="A168" s="15"/>
      <c r="B168" s="35"/>
      <c r="D168" s="16"/>
      <c r="E168" s="36"/>
      <c r="F168" s="78">
        <v>5120</v>
      </c>
      <c r="G168" s="37"/>
      <c r="H168" s="67"/>
      <c r="I168" s="67"/>
      <c r="J168" s="67"/>
      <c r="K168" s="67"/>
    </row>
    <row r="169" spans="1:11" ht="24.75" customHeight="1">
      <c r="A169" s="15"/>
      <c r="B169" s="35"/>
      <c r="D169" s="16"/>
      <c r="E169" s="36">
        <v>5200</v>
      </c>
      <c r="F169" s="78">
        <v>5200</v>
      </c>
      <c r="G169" s="37"/>
      <c r="H169" s="67"/>
      <c r="I169" s="67"/>
      <c r="J169" s="67"/>
      <c r="K169" s="67"/>
    </row>
    <row r="170" spans="1:11" ht="24.75" customHeight="1">
      <c r="A170" s="15"/>
      <c r="B170" s="35"/>
      <c r="D170" s="16"/>
      <c r="E170" s="36"/>
      <c r="F170" s="78">
        <v>5210</v>
      </c>
      <c r="G170" s="82" t="s">
        <v>148</v>
      </c>
      <c r="H170" s="67"/>
      <c r="I170" s="67"/>
      <c r="J170" s="67"/>
      <c r="K170" s="67"/>
    </row>
    <row r="171" spans="1:11" ht="24.75" customHeight="1">
      <c r="A171" s="15"/>
      <c r="B171" s="35"/>
      <c r="D171" s="16"/>
      <c r="E171" s="36"/>
      <c r="F171" s="78">
        <v>5220</v>
      </c>
      <c r="G171" s="37"/>
      <c r="H171" s="67"/>
      <c r="I171" s="67"/>
      <c r="J171" s="67"/>
      <c r="K171" s="67"/>
    </row>
    <row r="172" spans="1:11" ht="24.75" customHeight="1">
      <c r="A172" s="15"/>
      <c r="B172" s="35"/>
      <c r="D172" s="16"/>
      <c r="E172" s="36">
        <v>5300</v>
      </c>
      <c r="F172" s="78">
        <v>5300</v>
      </c>
      <c r="G172" s="37"/>
      <c r="H172" s="67"/>
      <c r="I172" s="67"/>
      <c r="J172" s="67"/>
      <c r="K172" s="67"/>
    </row>
    <row r="173" spans="1:11" ht="24.75" customHeight="1">
      <c r="A173" s="15"/>
      <c r="B173" s="35"/>
      <c r="D173" s="16"/>
      <c r="E173" s="36"/>
      <c r="F173" s="78">
        <v>5310</v>
      </c>
      <c r="G173" s="37"/>
      <c r="H173" s="67"/>
      <c r="I173" s="67"/>
      <c r="J173" s="67"/>
      <c r="K173" s="67"/>
    </row>
    <row r="174" spans="1:11" ht="24.75" customHeight="1">
      <c r="A174" s="15"/>
      <c r="B174" s="35"/>
      <c r="D174" s="16"/>
      <c r="E174" s="36"/>
      <c r="F174" s="78">
        <v>5320</v>
      </c>
      <c r="G174" s="37"/>
      <c r="H174" s="67"/>
      <c r="I174" s="67"/>
      <c r="J174" s="67"/>
      <c r="K174" s="67"/>
    </row>
    <row r="175" spans="1:11" ht="24.75" customHeight="1">
      <c r="A175" s="15"/>
      <c r="B175" s="35"/>
      <c r="D175" s="16"/>
      <c r="E175" s="36"/>
      <c r="F175" s="78">
        <v>5330</v>
      </c>
      <c r="G175" s="37"/>
      <c r="H175" s="67"/>
      <c r="I175" s="67"/>
      <c r="J175" s="67"/>
      <c r="K175" s="67"/>
    </row>
    <row r="176" spans="1:11" ht="24.75" customHeight="1">
      <c r="A176" s="15"/>
      <c r="B176" s="35"/>
      <c r="D176" s="16"/>
      <c r="E176" s="36">
        <v>5400</v>
      </c>
      <c r="F176" s="78">
        <v>5400</v>
      </c>
      <c r="G176" s="37"/>
      <c r="H176" s="67"/>
      <c r="I176" s="67"/>
      <c r="J176" s="67"/>
      <c r="K176" s="67"/>
    </row>
    <row r="177" spans="1:11" ht="24.75" customHeight="1">
      <c r="A177" s="15"/>
      <c r="B177" s="35"/>
      <c r="D177" s="16"/>
      <c r="E177" s="36">
        <v>5500</v>
      </c>
      <c r="F177" s="78">
        <v>5500</v>
      </c>
      <c r="G177" s="37"/>
      <c r="H177" s="67"/>
      <c r="I177" s="67"/>
      <c r="J177" s="67"/>
      <c r="K177" s="67"/>
    </row>
    <row r="178" spans="1:11" ht="16.5" customHeight="1" thickBot="1">
      <c r="A178" s="15"/>
      <c r="B178" s="35"/>
      <c r="D178" s="16"/>
      <c r="E178" s="36">
        <v>5600</v>
      </c>
      <c r="F178" s="78">
        <v>5600</v>
      </c>
      <c r="G178" s="37"/>
      <c r="H178" s="67"/>
      <c r="I178" s="67"/>
      <c r="J178" s="67"/>
      <c r="K178" s="67"/>
    </row>
    <row r="179" spans="1:13" ht="17.25" thickBot="1" thickTop="1">
      <c r="A179" s="60"/>
      <c r="B179" s="55" t="s">
        <v>35</v>
      </c>
      <c r="C179" s="56"/>
      <c r="D179" s="57"/>
      <c r="E179" s="58"/>
      <c r="F179" s="56"/>
      <c r="G179" s="59" t="s">
        <v>36</v>
      </c>
      <c r="H179" s="64">
        <f>H164+H165</f>
        <v>0</v>
      </c>
      <c r="I179" s="64">
        <f>I164+I165</f>
        <v>0</v>
      </c>
      <c r="J179" s="64">
        <f>J164+J165</f>
        <v>0</v>
      </c>
      <c r="K179" s="64">
        <f>K164+K165</f>
        <v>0</v>
      </c>
      <c r="M179" s="1" t="s">
        <v>37</v>
      </c>
    </row>
    <row r="180" spans="1:11" ht="21.75" customHeight="1" thickTop="1">
      <c r="A180" s="32" t="s">
        <v>38</v>
      </c>
      <c r="B180" s="5"/>
      <c r="C180" s="5"/>
      <c r="D180" s="18"/>
      <c r="E180" s="33"/>
      <c r="F180" s="77"/>
      <c r="G180" s="16"/>
      <c r="H180" s="68"/>
      <c r="I180" s="68"/>
      <c r="J180" s="68"/>
      <c r="K180" s="68"/>
    </row>
    <row r="181" spans="1:11" ht="19.5" customHeight="1">
      <c r="A181" s="15"/>
      <c r="B181" s="47" t="s">
        <v>39</v>
      </c>
      <c r="C181" s="35"/>
      <c r="D181" s="48"/>
      <c r="E181" s="33"/>
      <c r="F181" s="77"/>
      <c r="G181" s="16"/>
      <c r="H181" s="71"/>
      <c r="I181" s="68"/>
      <c r="J181" s="68"/>
      <c r="K181" s="68"/>
    </row>
    <row r="182" spans="1:13" ht="16.5" customHeight="1">
      <c r="A182" s="15"/>
      <c r="B182" s="35"/>
      <c r="C182" s="35" t="s">
        <v>40</v>
      </c>
      <c r="D182" s="48"/>
      <c r="E182" s="36" t="s">
        <v>41</v>
      </c>
      <c r="F182" s="78"/>
      <c r="G182" s="37" t="s">
        <v>42</v>
      </c>
      <c r="H182" s="67"/>
      <c r="I182" s="67"/>
      <c r="J182" s="67"/>
      <c r="K182" s="67"/>
      <c r="M182" s="1" t="s">
        <v>21</v>
      </c>
    </row>
    <row r="183" spans="1:13" ht="16.5" customHeight="1">
      <c r="A183" s="15"/>
      <c r="B183" s="35"/>
      <c r="C183" s="35" t="s">
        <v>43</v>
      </c>
      <c r="D183" s="48"/>
      <c r="E183" s="36" t="s">
        <v>44</v>
      </c>
      <c r="F183" s="78"/>
      <c r="G183" s="37" t="s">
        <v>45</v>
      </c>
      <c r="H183" s="67"/>
      <c r="I183" s="67"/>
      <c r="J183" s="67"/>
      <c r="K183" s="67"/>
      <c r="M183" s="1" t="s">
        <v>21</v>
      </c>
    </row>
    <row r="184" spans="1:13" ht="16.5" customHeight="1">
      <c r="A184" s="15"/>
      <c r="B184" s="35"/>
      <c r="C184" s="35" t="s">
        <v>46</v>
      </c>
      <c r="D184" s="48"/>
      <c r="E184" s="36" t="s">
        <v>47</v>
      </c>
      <c r="F184" s="78"/>
      <c r="G184" s="37" t="s">
        <v>48</v>
      </c>
      <c r="H184" s="67"/>
      <c r="I184" s="67"/>
      <c r="J184" s="67"/>
      <c r="K184" s="67"/>
      <c r="M184" s="1" t="s">
        <v>21</v>
      </c>
    </row>
    <row r="185" spans="1:13" ht="16.5" customHeight="1">
      <c r="A185" s="15"/>
      <c r="B185" s="35"/>
      <c r="C185" s="35" t="s">
        <v>130</v>
      </c>
      <c r="D185" s="48"/>
      <c r="E185" s="36" t="s">
        <v>49</v>
      </c>
      <c r="F185" s="78"/>
      <c r="G185" s="37" t="s">
        <v>50</v>
      </c>
      <c r="H185" s="67"/>
      <c r="I185" s="67"/>
      <c r="J185" s="67"/>
      <c r="K185" s="67"/>
      <c r="M185" s="1" t="s">
        <v>21</v>
      </c>
    </row>
    <row r="186" spans="1:13" ht="16.5" customHeight="1">
      <c r="A186" s="15"/>
      <c r="B186" s="35"/>
      <c r="C186" s="35" t="s">
        <v>51</v>
      </c>
      <c r="D186" s="48"/>
      <c r="E186" s="36" t="s">
        <v>52</v>
      </c>
      <c r="F186" s="78"/>
      <c r="G186" s="37" t="s">
        <v>53</v>
      </c>
      <c r="H186" s="67"/>
      <c r="I186" s="67"/>
      <c r="J186" s="67"/>
      <c r="K186" s="67"/>
      <c r="M186" s="1" t="s">
        <v>21</v>
      </c>
    </row>
    <row r="187" spans="1:13" ht="16.5" customHeight="1" thickBot="1">
      <c r="A187" s="15"/>
      <c r="B187" s="35"/>
      <c r="C187" s="35" t="s">
        <v>54</v>
      </c>
      <c r="D187" s="48"/>
      <c r="E187" s="36" t="s">
        <v>55</v>
      </c>
      <c r="F187" s="78"/>
      <c r="G187" s="37" t="s">
        <v>56</v>
      </c>
      <c r="H187" s="67"/>
      <c r="I187" s="67"/>
      <c r="J187" s="67"/>
      <c r="K187" s="67"/>
      <c r="M187" s="1" t="s">
        <v>21</v>
      </c>
    </row>
    <row r="188" spans="1:13" ht="16.5" customHeight="1" thickBot="1">
      <c r="A188" s="41"/>
      <c r="B188" s="43"/>
      <c r="C188" s="43"/>
      <c r="D188" s="49" t="s">
        <v>57</v>
      </c>
      <c r="E188" s="45"/>
      <c r="F188" s="42"/>
      <c r="G188" s="54" t="s">
        <v>58</v>
      </c>
      <c r="H188" s="63">
        <f>SUM(H182:H187)</f>
        <v>0</v>
      </c>
      <c r="I188" s="63">
        <f>SUM(I182:I187)</f>
        <v>0</v>
      </c>
      <c r="J188" s="63">
        <f>SUM(J182:J187)</f>
        <v>0</v>
      </c>
      <c r="K188" s="63">
        <f>SUM(K182:K187)</f>
        <v>0</v>
      </c>
      <c r="M188" s="1" t="s">
        <v>31</v>
      </c>
    </row>
    <row r="189" spans="1:11" ht="19.5" customHeight="1">
      <c r="A189" s="15"/>
      <c r="B189" s="47" t="s">
        <v>59</v>
      </c>
      <c r="D189" s="16"/>
      <c r="E189" s="33"/>
      <c r="F189" s="77"/>
      <c r="G189" s="16"/>
      <c r="H189" s="62"/>
      <c r="I189" s="68"/>
      <c r="J189" s="68"/>
      <c r="K189" s="68"/>
    </row>
    <row r="190" spans="1:13" ht="16.5" customHeight="1">
      <c r="A190" s="15"/>
      <c r="C190" s="35" t="s">
        <v>60</v>
      </c>
      <c r="D190" s="48"/>
      <c r="E190" s="36" t="s">
        <v>61</v>
      </c>
      <c r="F190" s="78"/>
      <c r="G190" s="37" t="s">
        <v>62</v>
      </c>
      <c r="H190" s="67"/>
      <c r="I190" s="67"/>
      <c r="J190" s="67"/>
      <c r="K190" s="67"/>
      <c r="M190" s="1" t="s">
        <v>21</v>
      </c>
    </row>
    <row r="191" spans="1:13" ht="16.5" customHeight="1">
      <c r="A191" s="15"/>
      <c r="C191" s="35" t="s">
        <v>63</v>
      </c>
      <c r="D191" s="48"/>
      <c r="E191" s="36" t="s">
        <v>64</v>
      </c>
      <c r="F191" s="78"/>
      <c r="G191" s="37" t="s">
        <v>65</v>
      </c>
      <c r="H191" s="67"/>
      <c r="I191" s="67"/>
      <c r="J191" s="67"/>
      <c r="K191" s="67"/>
      <c r="M191" s="1" t="s">
        <v>21</v>
      </c>
    </row>
    <row r="192" spans="1:13" ht="16.5" customHeight="1">
      <c r="A192" s="15"/>
      <c r="C192" s="35" t="s">
        <v>66</v>
      </c>
      <c r="D192" s="48"/>
      <c r="E192" s="36" t="s">
        <v>67</v>
      </c>
      <c r="F192" s="78"/>
      <c r="G192" s="37" t="s">
        <v>68</v>
      </c>
      <c r="H192" s="67"/>
      <c r="I192" s="67"/>
      <c r="J192" s="67"/>
      <c r="K192" s="67"/>
      <c r="M192" s="1" t="s">
        <v>21</v>
      </c>
    </row>
    <row r="193" spans="1:13" ht="16.5" customHeight="1">
      <c r="A193" s="15"/>
      <c r="C193" s="35" t="s">
        <v>69</v>
      </c>
      <c r="D193" s="48"/>
      <c r="E193" s="36" t="s">
        <v>70</v>
      </c>
      <c r="F193" s="78"/>
      <c r="G193" s="37" t="s">
        <v>71</v>
      </c>
      <c r="H193" s="67"/>
      <c r="I193" s="67"/>
      <c r="J193" s="67"/>
      <c r="K193" s="67"/>
      <c r="M193" s="1" t="s">
        <v>21</v>
      </c>
    </row>
    <row r="194" spans="1:13" ht="16.5" customHeight="1">
      <c r="A194" s="15"/>
      <c r="C194" s="35" t="s">
        <v>72</v>
      </c>
      <c r="D194" s="48"/>
      <c r="E194" s="36" t="s">
        <v>73</v>
      </c>
      <c r="F194" s="78"/>
      <c r="G194" s="37" t="s">
        <v>74</v>
      </c>
      <c r="H194" s="67"/>
      <c r="I194" s="67"/>
      <c r="J194" s="67"/>
      <c r="K194" s="67"/>
      <c r="M194" s="1" t="s">
        <v>21</v>
      </c>
    </row>
    <row r="195" spans="1:13" ht="16.5" customHeight="1">
      <c r="A195" s="15"/>
      <c r="C195" s="35" t="s">
        <v>75</v>
      </c>
      <c r="D195" s="48"/>
      <c r="E195" s="36" t="s">
        <v>76</v>
      </c>
      <c r="F195" s="78"/>
      <c r="G195" s="37" t="s">
        <v>77</v>
      </c>
      <c r="H195" s="67"/>
      <c r="I195" s="67"/>
      <c r="J195" s="67"/>
      <c r="K195" s="67"/>
      <c r="M195" s="1" t="s">
        <v>21</v>
      </c>
    </row>
    <row r="196" spans="1:13" ht="16.5" customHeight="1">
      <c r="A196" s="15"/>
      <c r="C196" s="35" t="s">
        <v>78</v>
      </c>
      <c r="D196" s="48"/>
      <c r="E196" s="36" t="s">
        <v>79</v>
      </c>
      <c r="F196" s="78"/>
      <c r="G196" s="37" t="s">
        <v>80</v>
      </c>
      <c r="H196" s="67"/>
      <c r="I196" s="67"/>
      <c r="J196" s="67"/>
      <c r="K196" s="67"/>
      <c r="M196" s="1" t="s">
        <v>21</v>
      </c>
    </row>
    <row r="197" spans="1:13" ht="16.5" customHeight="1" thickBot="1">
      <c r="A197" s="15"/>
      <c r="C197" s="35" t="s">
        <v>81</v>
      </c>
      <c r="D197" s="48"/>
      <c r="E197" s="39" t="s">
        <v>82</v>
      </c>
      <c r="F197" s="79"/>
      <c r="G197" s="40" t="s">
        <v>83</v>
      </c>
      <c r="H197" s="69"/>
      <c r="I197" s="69"/>
      <c r="J197" s="69"/>
      <c r="K197" s="69"/>
      <c r="M197" s="1" t="s">
        <v>21</v>
      </c>
    </row>
    <row r="198" spans="1:13" ht="16.5" customHeight="1" thickBot="1">
      <c r="A198" s="41"/>
      <c r="B198" s="42"/>
      <c r="C198" s="43"/>
      <c r="D198" s="49" t="s">
        <v>84</v>
      </c>
      <c r="E198" s="45"/>
      <c r="F198" s="42"/>
      <c r="G198" s="54" t="s">
        <v>85</v>
      </c>
      <c r="H198" s="63">
        <f>SUM(H190:H197)</f>
        <v>0</v>
      </c>
      <c r="I198" s="63">
        <f>SUM(I190:I197)</f>
        <v>0</v>
      </c>
      <c r="J198" s="63">
        <f>SUM(J190:J197)</f>
        <v>0</v>
      </c>
      <c r="K198" s="63">
        <f>SUM(K190:K197)</f>
        <v>0</v>
      </c>
      <c r="M198" s="1" t="s">
        <v>31</v>
      </c>
    </row>
    <row r="199" spans="1:11" ht="24.75" customHeight="1">
      <c r="A199" s="15"/>
      <c r="B199" s="47" t="s">
        <v>86</v>
      </c>
      <c r="C199" s="35"/>
      <c r="D199" s="48"/>
      <c r="E199" s="33"/>
      <c r="F199" s="77"/>
      <c r="G199" s="16"/>
      <c r="H199" s="68"/>
      <c r="I199" s="68"/>
      <c r="J199" s="68"/>
      <c r="K199" s="68"/>
    </row>
    <row r="200" spans="1:13" ht="16.5" customHeight="1">
      <c r="A200" s="15"/>
      <c r="B200" s="35"/>
      <c r="C200" s="35" t="s">
        <v>87</v>
      </c>
      <c r="D200" s="48"/>
      <c r="E200" s="36" t="s">
        <v>88</v>
      </c>
      <c r="F200" s="78"/>
      <c r="G200" s="37" t="s">
        <v>89</v>
      </c>
      <c r="H200" s="67"/>
      <c r="I200" s="67"/>
      <c r="J200" s="67"/>
      <c r="K200" s="67"/>
      <c r="M200" s="1" t="s">
        <v>21</v>
      </c>
    </row>
    <row r="201" spans="1:13" ht="16.5" customHeight="1">
      <c r="A201" s="15"/>
      <c r="B201" s="35"/>
      <c r="C201" s="35" t="s">
        <v>90</v>
      </c>
      <c r="D201" s="48"/>
      <c r="E201" s="36" t="s">
        <v>91</v>
      </c>
      <c r="F201" s="78"/>
      <c r="G201" s="37" t="s">
        <v>92</v>
      </c>
      <c r="H201" s="67"/>
      <c r="I201" s="67"/>
      <c r="J201" s="67"/>
      <c r="K201" s="67"/>
      <c r="M201" s="1" t="s">
        <v>21</v>
      </c>
    </row>
    <row r="202" spans="1:13" ht="16.5" customHeight="1" thickBot="1">
      <c r="A202" s="15"/>
      <c r="B202" s="35"/>
      <c r="C202" s="35" t="s">
        <v>93</v>
      </c>
      <c r="D202" s="48"/>
      <c r="E202" s="39" t="s">
        <v>94</v>
      </c>
      <c r="F202" s="79"/>
      <c r="G202" s="40" t="s">
        <v>95</v>
      </c>
      <c r="H202" s="69"/>
      <c r="I202" s="69"/>
      <c r="J202" s="69"/>
      <c r="K202" s="69"/>
      <c r="M202" s="1" t="s">
        <v>21</v>
      </c>
    </row>
    <row r="203" spans="1:13" ht="16.5" customHeight="1" thickBot="1">
      <c r="A203" s="41"/>
      <c r="B203" s="43"/>
      <c r="C203" s="43"/>
      <c r="D203" s="49" t="s">
        <v>96</v>
      </c>
      <c r="E203" s="45"/>
      <c r="F203" s="42"/>
      <c r="G203" s="54" t="s">
        <v>97</v>
      </c>
      <c r="H203" s="63">
        <f>SUM(H200:H202)</f>
        <v>0</v>
      </c>
      <c r="I203" s="63">
        <f>SUM(I200:I202)</f>
        <v>0</v>
      </c>
      <c r="J203" s="63">
        <f>SUM(J200:J202)</f>
        <v>0</v>
      </c>
      <c r="K203" s="63">
        <f>SUM(K200:K202)</f>
        <v>0</v>
      </c>
      <c r="M203" s="1" t="s">
        <v>31</v>
      </c>
    </row>
    <row r="204" spans="1:13" ht="30" customHeight="1">
      <c r="A204" s="15"/>
      <c r="B204" s="35" t="s">
        <v>98</v>
      </c>
      <c r="D204" s="16"/>
      <c r="E204" s="36" t="s">
        <v>27</v>
      </c>
      <c r="F204" s="78"/>
      <c r="G204" s="37" t="s">
        <v>99</v>
      </c>
      <c r="H204" s="67"/>
      <c r="I204" s="67"/>
      <c r="J204" s="67"/>
      <c r="K204" s="67"/>
      <c r="M204" s="1" t="s">
        <v>21</v>
      </c>
    </row>
    <row r="205" spans="1:13" ht="30" customHeight="1">
      <c r="A205" s="15"/>
      <c r="B205" s="35" t="s">
        <v>100</v>
      </c>
      <c r="D205" s="16"/>
      <c r="E205" s="36" t="s">
        <v>101</v>
      </c>
      <c r="F205" s="78"/>
      <c r="G205" s="37" t="s">
        <v>102</v>
      </c>
      <c r="H205" s="67"/>
      <c r="I205" s="67"/>
      <c r="J205" s="67"/>
      <c r="K205" s="67"/>
      <c r="M205" s="1" t="s">
        <v>21</v>
      </c>
    </row>
    <row r="206" spans="1:11" ht="19.5" customHeight="1" thickBot="1">
      <c r="A206" s="15"/>
      <c r="D206" s="16"/>
      <c r="E206" s="33"/>
      <c r="F206" s="77"/>
      <c r="G206" s="16"/>
      <c r="H206" s="68"/>
      <c r="I206" s="68"/>
      <c r="J206" s="68"/>
      <c r="K206" s="68"/>
    </row>
    <row r="207" spans="1:13" ht="16.5" customHeight="1" thickBot="1">
      <c r="A207" s="41"/>
      <c r="B207" s="42"/>
      <c r="C207" s="43" t="s">
        <v>103</v>
      </c>
      <c r="D207" s="44"/>
      <c r="E207" s="45"/>
      <c r="F207" s="42"/>
      <c r="G207" s="54" t="s">
        <v>104</v>
      </c>
      <c r="H207" s="63">
        <f>H188+H198+H203+H204+H205</f>
        <v>0</v>
      </c>
      <c r="I207" s="63">
        <f>I188+I198+I203+I204+I205</f>
        <v>0</v>
      </c>
      <c r="J207" s="63">
        <f>J188+J198+J203+J204+J205</f>
        <v>0</v>
      </c>
      <c r="K207" s="63">
        <f>K188+K198+K203+K204+K205</f>
        <v>0</v>
      </c>
      <c r="M207" s="1" t="s">
        <v>31</v>
      </c>
    </row>
    <row r="208" spans="1:13" ht="30" customHeight="1">
      <c r="A208" s="15"/>
      <c r="B208" s="35" t="s">
        <v>105</v>
      </c>
      <c r="D208" s="16"/>
      <c r="E208" s="36" t="s">
        <v>106</v>
      </c>
      <c r="F208" s="78"/>
      <c r="G208" s="37" t="s">
        <v>107</v>
      </c>
      <c r="H208" s="67"/>
      <c r="I208" s="67"/>
      <c r="J208" s="67"/>
      <c r="K208" s="67"/>
      <c r="M208" s="1" t="s">
        <v>21</v>
      </c>
    </row>
    <row r="209" spans="1:11" ht="24.75" customHeight="1" thickBot="1">
      <c r="A209" s="15"/>
      <c r="D209" s="16"/>
      <c r="E209" s="33"/>
      <c r="F209" s="77"/>
      <c r="G209" s="16"/>
      <c r="H209" s="71"/>
      <c r="I209" s="68"/>
      <c r="J209" s="68"/>
      <c r="K209" s="68"/>
    </row>
    <row r="210" spans="1:13" ht="16.5" customHeight="1" thickBot="1" thickTop="1">
      <c r="A210" s="60"/>
      <c r="B210" s="55" t="s">
        <v>108</v>
      </c>
      <c r="C210" s="56"/>
      <c r="D210" s="57"/>
      <c r="E210" s="58"/>
      <c r="F210" s="56"/>
      <c r="G210" s="59" t="s">
        <v>36</v>
      </c>
      <c r="H210" s="64">
        <f>H207+H208</f>
        <v>0</v>
      </c>
      <c r="I210" s="64">
        <f>I207+I208</f>
        <v>0</v>
      </c>
      <c r="J210" s="64">
        <f>J207+J208</f>
        <v>0</v>
      </c>
      <c r="K210" s="64">
        <f>K207+K208</f>
        <v>0</v>
      </c>
      <c r="M210" s="1" t="s">
        <v>37</v>
      </c>
    </row>
    <row r="211" spans="1:11" ht="24.75" customHeight="1" thickTop="1">
      <c r="A211" s="32"/>
      <c r="B211" s="50"/>
      <c r="C211" s="50"/>
      <c r="D211" s="51"/>
      <c r="E211" s="33"/>
      <c r="F211" s="77"/>
      <c r="G211" s="16"/>
      <c r="H211" s="72"/>
      <c r="I211" s="68"/>
      <c r="J211" s="68"/>
      <c r="K211" s="68"/>
    </row>
    <row r="212" spans="1:11" ht="30" customHeight="1">
      <c r="A212" s="15"/>
      <c r="B212" s="35" t="s">
        <v>109</v>
      </c>
      <c r="D212" s="16"/>
      <c r="E212" s="33"/>
      <c r="F212" s="77"/>
      <c r="G212" s="16"/>
      <c r="H212" s="72"/>
      <c r="I212" s="68"/>
      <c r="J212" s="68"/>
      <c r="K212" s="68"/>
    </row>
    <row r="213" spans="1:13" ht="15.75">
      <c r="A213" s="15"/>
      <c r="C213" s="35" t="s">
        <v>110</v>
      </c>
      <c r="D213" s="16"/>
      <c r="E213" s="52" t="s">
        <v>111</v>
      </c>
      <c r="F213" s="81"/>
      <c r="G213" s="61" t="s">
        <v>112</v>
      </c>
      <c r="H213" s="65">
        <f>H179-H210</f>
        <v>0</v>
      </c>
      <c r="I213" s="65">
        <f>I179-I210</f>
        <v>0</v>
      </c>
      <c r="J213" s="65">
        <f>J179-J210</f>
        <v>0</v>
      </c>
      <c r="K213" s="65">
        <f>K179-K210</f>
        <v>0</v>
      </c>
      <c r="M213" s="1" t="s">
        <v>113</v>
      </c>
    </row>
    <row r="214" spans="1:13" ht="24.75" customHeight="1">
      <c r="A214" s="15"/>
      <c r="B214" s="35" t="s">
        <v>114</v>
      </c>
      <c r="D214" s="16"/>
      <c r="E214" s="46"/>
      <c r="F214" s="80"/>
      <c r="G214" s="37" t="s">
        <v>115</v>
      </c>
      <c r="H214" s="67"/>
      <c r="I214" s="67"/>
      <c r="J214" s="67"/>
      <c r="K214" s="67"/>
      <c r="M214" s="1" t="s">
        <v>21</v>
      </c>
    </row>
    <row r="215" spans="1:13" ht="19.5" customHeight="1">
      <c r="A215" s="15"/>
      <c r="B215" s="35" t="s">
        <v>116</v>
      </c>
      <c r="D215" s="16"/>
      <c r="E215" s="46"/>
      <c r="F215" s="80"/>
      <c r="G215" s="37" t="s">
        <v>117</v>
      </c>
      <c r="H215" s="67"/>
      <c r="I215" s="67"/>
      <c r="J215" s="67"/>
      <c r="K215" s="67"/>
      <c r="M215" s="1" t="s">
        <v>21</v>
      </c>
    </row>
    <row r="216" spans="1:13" ht="19.5" customHeight="1">
      <c r="A216" s="15"/>
      <c r="B216" s="35" t="s">
        <v>118</v>
      </c>
      <c r="D216" s="16"/>
      <c r="E216" s="46"/>
      <c r="F216" s="80"/>
      <c r="G216" s="37" t="s">
        <v>119</v>
      </c>
      <c r="H216" s="67"/>
      <c r="I216" s="67"/>
      <c r="J216" s="67"/>
      <c r="K216" s="67"/>
      <c r="M216" s="1" t="s">
        <v>21</v>
      </c>
    </row>
    <row r="217" spans="1:13" ht="19.5" customHeight="1">
      <c r="A217" s="15"/>
      <c r="B217" s="35" t="s">
        <v>120</v>
      </c>
      <c r="D217" s="16"/>
      <c r="E217" s="46"/>
      <c r="F217" s="80"/>
      <c r="G217" s="37" t="s">
        <v>121</v>
      </c>
      <c r="H217" s="67"/>
      <c r="I217" s="73">
        <f>H218</f>
        <v>0</v>
      </c>
      <c r="J217" s="67"/>
      <c r="K217" s="73">
        <f>J218</f>
        <v>0</v>
      </c>
      <c r="M217" s="1" t="s">
        <v>21</v>
      </c>
    </row>
    <row r="218" spans="1:13" ht="19.5" customHeight="1">
      <c r="A218" s="15"/>
      <c r="B218" s="35" t="s">
        <v>122</v>
      </c>
      <c r="D218" s="16"/>
      <c r="E218" s="52" t="s">
        <v>111</v>
      </c>
      <c r="F218" s="81"/>
      <c r="G218" s="61" t="s">
        <v>123</v>
      </c>
      <c r="H218" s="65">
        <f>SUM(H213:H217)</f>
        <v>0</v>
      </c>
      <c r="I218" s="65">
        <f>SUM(I213:I217)</f>
        <v>0</v>
      </c>
      <c r="J218" s="65">
        <f>SUM(J213:J217)</f>
        <v>0</v>
      </c>
      <c r="K218" s="65">
        <f>SUM(K213:K217)</f>
        <v>0</v>
      </c>
      <c r="M218" s="1" t="s">
        <v>124</v>
      </c>
    </row>
    <row r="219" spans="1:11" ht="13.5" customHeight="1" thickBot="1">
      <c r="A219" s="22"/>
      <c r="B219" s="29"/>
      <c r="C219" s="29"/>
      <c r="D219" s="23"/>
      <c r="E219" s="53"/>
      <c r="F219" s="29"/>
      <c r="G219" s="23"/>
      <c r="H219" s="66"/>
      <c r="I219" s="23"/>
      <c r="J219" s="23"/>
      <c r="K219" s="23"/>
    </row>
    <row r="220" ht="15.75" thickTop="1"/>
    <row r="221" ht="15">
      <c r="B221" s="7" t="s">
        <v>125</v>
      </c>
    </row>
    <row r="225" ht="15">
      <c r="B225" s="2" t="str">
        <f ca="1">CELL("filename")</f>
        <v>C:\Documents and Settings\sosborn\Desktop\CFO\Budgets\2012-13\Lens\[ECHS - Five Year Budget 2012.13.xls]YoY Budget</v>
      </c>
    </row>
  </sheetData>
  <sheetProtection/>
  <mergeCells count="5">
    <mergeCell ref="K9:K11"/>
    <mergeCell ref="D4:D5"/>
    <mergeCell ref="H9:H11"/>
    <mergeCell ref="I9:I11"/>
    <mergeCell ref="J9:J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6:C6"/>
  <sheetViews>
    <sheetView zoomScalePageLayoutView="0" workbookViewId="0" topLeftCell="A1">
      <selection activeCell="C7" sqref="C7"/>
    </sheetView>
  </sheetViews>
  <sheetFormatPr defaultColWidth="8.88671875" defaultRowHeight="15"/>
  <cols>
    <col min="2" max="2" width="16.4453125" style="0" customWidth="1"/>
    <col min="3" max="3" width="38.3359375" style="0" customWidth="1"/>
  </cols>
  <sheetData>
    <row r="6" spans="2:3" ht="15.75">
      <c r="B6" s="500" t="s">
        <v>415</v>
      </c>
      <c r="C6" s="499" t="s">
        <v>488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zoomScalePageLayoutView="0" workbookViewId="0" topLeftCell="A1">
      <selection activeCell="F8" sqref="F8"/>
    </sheetView>
  </sheetViews>
  <sheetFormatPr defaultColWidth="8.88671875" defaultRowHeight="15"/>
  <cols>
    <col min="1" max="1" width="1.5625" style="250" customWidth="1"/>
    <col min="2" max="2" width="2.3359375" style="250" customWidth="1"/>
    <col min="3" max="3" width="8.88671875" style="250" customWidth="1"/>
    <col min="4" max="4" width="24.5546875" style="250" customWidth="1"/>
    <col min="5" max="5" width="6.77734375" style="250" customWidth="1"/>
    <col min="6" max="6" width="10.77734375" style="250" customWidth="1"/>
    <col min="7" max="7" width="10.6640625" style="250" customWidth="1"/>
    <col min="8" max="13" width="10.77734375" style="250" customWidth="1"/>
    <col min="14" max="14" width="32.21484375" style="250" customWidth="1"/>
    <col min="15" max="16384" width="8.88671875" style="250" customWidth="1"/>
  </cols>
  <sheetData>
    <row r="1" spans="1:12" s="454" customFormat="1" ht="15.75">
      <c r="A1" s="425" t="str">
        <f>Control!C6</f>
        <v>Lake Area New Tech Early College High School 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</row>
    <row r="2" spans="1:12" s="454" customFormat="1" ht="15.75">
      <c r="A2" s="425" t="s">
        <v>327</v>
      </c>
      <c r="B2" s="453"/>
      <c r="C2" s="453"/>
      <c r="D2" s="455"/>
      <c r="E2" s="455"/>
      <c r="F2" s="453"/>
      <c r="G2" s="453"/>
      <c r="H2" s="453"/>
      <c r="I2" s="453"/>
      <c r="J2" s="453"/>
      <c r="K2" s="453"/>
      <c r="L2" s="453"/>
    </row>
    <row r="3" ht="12" thickBot="1"/>
    <row r="4" spans="1:14" s="3" customFormat="1" ht="15.75" customHeight="1" thickTop="1">
      <c r="A4" s="251"/>
      <c r="D4" s="252"/>
      <c r="E4" s="253" t="s">
        <v>9</v>
      </c>
      <c r="F4" s="557" t="s">
        <v>489</v>
      </c>
      <c r="G4" s="557" t="s">
        <v>490</v>
      </c>
      <c r="H4" s="557" t="s">
        <v>491</v>
      </c>
      <c r="I4" s="557" t="s">
        <v>409</v>
      </c>
      <c r="J4" s="557" t="s">
        <v>439</v>
      </c>
      <c r="K4" s="557" t="s">
        <v>440</v>
      </c>
      <c r="L4" s="557" t="s">
        <v>492</v>
      </c>
      <c r="M4" s="557" t="s">
        <v>493</v>
      </c>
      <c r="N4" s="556" t="s">
        <v>410</v>
      </c>
    </row>
    <row r="5" spans="1:14" s="3" customFormat="1" ht="15" customHeight="1">
      <c r="A5" s="251"/>
      <c r="D5" s="252"/>
      <c r="E5" s="254" t="s">
        <v>15</v>
      </c>
      <c r="F5" s="558" t="s">
        <v>132</v>
      </c>
      <c r="G5" s="558" t="s">
        <v>132</v>
      </c>
      <c r="H5" s="558" t="s">
        <v>132</v>
      </c>
      <c r="I5" s="558" t="s">
        <v>132</v>
      </c>
      <c r="J5" s="558" t="s">
        <v>132</v>
      </c>
      <c r="K5" s="558" t="s">
        <v>132</v>
      </c>
      <c r="L5" s="558" t="s">
        <v>132</v>
      </c>
      <c r="M5" s="558" t="s">
        <v>132</v>
      </c>
      <c r="N5" s="556"/>
    </row>
    <row r="6" spans="1:14" s="3" customFormat="1" ht="12.75" customHeight="1" thickBot="1">
      <c r="A6" s="255"/>
      <c r="B6" s="256"/>
      <c r="C6" s="256"/>
      <c r="D6" s="257"/>
      <c r="E6" s="258"/>
      <c r="F6" s="559"/>
      <c r="G6" s="559"/>
      <c r="H6" s="559"/>
      <c r="I6" s="559"/>
      <c r="J6" s="559"/>
      <c r="K6" s="559"/>
      <c r="L6" s="559"/>
      <c r="M6" s="559"/>
      <c r="N6" s="556"/>
    </row>
    <row r="7" spans="1:13" s="3" customFormat="1" ht="24" customHeight="1" thickTop="1">
      <c r="A7" s="251"/>
      <c r="B7" s="447"/>
      <c r="C7" s="447"/>
      <c r="D7" s="449" t="s">
        <v>330</v>
      </c>
      <c r="E7" s="254"/>
      <c r="F7" s="448">
        <f>G7</f>
        <v>635</v>
      </c>
      <c r="G7" s="448">
        <f>H7</f>
        <v>635</v>
      </c>
      <c r="H7" s="448">
        <f>'Sched A-Revenue'!D20</f>
        <v>635</v>
      </c>
      <c r="I7" s="448">
        <f>'Sched A-Revenue'!E20</f>
        <v>655</v>
      </c>
      <c r="J7" s="448">
        <f>'Sched A-Revenue'!F20</f>
        <v>655</v>
      </c>
      <c r="K7" s="448">
        <f>'Sched A-Revenue'!G20</f>
        <v>655</v>
      </c>
      <c r="L7" s="448">
        <f>'Sched A-Revenue'!H20</f>
        <v>655</v>
      </c>
      <c r="M7" s="480"/>
    </row>
    <row r="8" spans="1:13" s="3" customFormat="1" ht="12.75" customHeight="1">
      <c r="A8" s="251"/>
      <c r="B8" s="447"/>
      <c r="C8" s="447"/>
      <c r="D8" s="252"/>
      <c r="E8" s="254"/>
      <c r="F8" s="448"/>
      <c r="G8" s="448"/>
      <c r="H8" s="448"/>
      <c r="I8" s="448"/>
      <c r="J8" s="448"/>
      <c r="K8" s="448"/>
      <c r="L8" s="448"/>
      <c r="M8" s="480"/>
    </row>
    <row r="9" spans="1:13" s="3" customFormat="1" ht="21.75" customHeight="1">
      <c r="A9" s="259" t="s">
        <v>17</v>
      </c>
      <c r="B9" s="260"/>
      <c r="C9" s="260"/>
      <c r="D9" s="261"/>
      <c r="E9" s="262"/>
      <c r="F9" s="263"/>
      <c r="G9" s="263"/>
      <c r="H9" s="285"/>
      <c r="I9" s="285"/>
      <c r="J9" s="285"/>
      <c r="K9" s="285"/>
      <c r="L9" s="285"/>
      <c r="M9" s="480"/>
    </row>
    <row r="10" spans="1:14" s="3" customFormat="1" ht="16.5" customHeight="1">
      <c r="A10" s="251"/>
      <c r="B10" s="264" t="s">
        <v>18</v>
      </c>
      <c r="D10" s="252"/>
      <c r="E10" s="52" t="s">
        <v>19</v>
      </c>
      <c r="F10" s="456">
        <f>'Sched A-Revenue'!C20*'Sched A-Revenue'!C25</f>
        <v>2511336.7786259544</v>
      </c>
      <c r="G10" s="456">
        <v>0</v>
      </c>
      <c r="H10" s="450">
        <f>F10+G10</f>
        <v>2511336.7786259544</v>
      </c>
      <c r="I10" s="450">
        <f>'Sched A-Revenue'!E20*'Sched A-Revenue'!E25</f>
        <v>2616338.3400000003</v>
      </c>
      <c r="J10" s="450">
        <f>'Sched A-Revenue'!F20*'Sched A-Revenue'!F25</f>
        <v>2642501.7234</v>
      </c>
      <c r="K10" s="450">
        <f>'Sched A-Revenue'!G20*'Sched A-Revenue'!G25</f>
        <v>2668926.740634</v>
      </c>
      <c r="L10" s="450">
        <f>'Sched A-Revenue'!H20*'Sched A-Revenue'!H25</f>
        <v>2695616.00804034</v>
      </c>
      <c r="M10" s="481">
        <f aca="true" t="shared" si="0" ref="M10:M15">H10/H$17</f>
        <v>0.45172568596996154</v>
      </c>
      <c r="N10" s="3" t="s">
        <v>411</v>
      </c>
    </row>
    <row r="11" spans="1:14" s="3" customFormat="1" ht="16.5" customHeight="1">
      <c r="A11" s="251"/>
      <c r="B11" s="264" t="s">
        <v>126</v>
      </c>
      <c r="D11" s="252"/>
      <c r="E11" s="52" t="s">
        <v>22</v>
      </c>
      <c r="F11" s="456">
        <f>'Sched A-Revenue'!C20*'Sched A-Revenue'!C26</f>
        <v>2286000</v>
      </c>
      <c r="G11" s="456">
        <v>0</v>
      </c>
      <c r="H11" s="450">
        <f>F11+G11</f>
        <v>2286000</v>
      </c>
      <c r="I11" s="450">
        <f>'Sched A-Revenue'!D20*'Sched A-Revenue'!E26</f>
        <v>2308860</v>
      </c>
      <c r="J11" s="450">
        <f>'Sched A-Revenue'!E20*'Sched A-Revenue'!F26</f>
        <v>2405395.8000000003</v>
      </c>
      <c r="K11" s="450">
        <f>'Sched A-Revenue'!F20*'Sched A-Revenue'!G26</f>
        <v>2429449.7580000004</v>
      </c>
      <c r="L11" s="450">
        <f>'Sched A-Revenue'!G20*'Sched A-Revenue'!H26</f>
        <v>2453744.25558</v>
      </c>
      <c r="M11" s="481">
        <f t="shared" si="0"/>
        <v>0.4111933241754738</v>
      </c>
      <c r="N11" s="3" t="s">
        <v>411</v>
      </c>
    </row>
    <row r="12" spans="1:14" s="3" customFormat="1" ht="16.5" customHeight="1">
      <c r="A12" s="251"/>
      <c r="B12" s="264" t="s">
        <v>129</v>
      </c>
      <c r="D12" s="252"/>
      <c r="E12" s="52" t="s">
        <v>22</v>
      </c>
      <c r="F12" s="456"/>
      <c r="G12" s="456">
        <f>'Sched A-Revenue'!C37</f>
        <v>250000</v>
      </c>
      <c r="H12" s="450">
        <f>F12+G12</f>
        <v>250000</v>
      </c>
      <c r="I12" s="457">
        <f>'Sched A-Revenue'!E37</f>
        <v>252500</v>
      </c>
      <c r="J12" s="457">
        <f>'Sched A-Revenue'!F37</f>
        <v>255025</v>
      </c>
      <c r="K12" s="457">
        <f>'Sched A-Revenue'!G37</f>
        <v>257575.25</v>
      </c>
      <c r="L12" s="457">
        <f>'Sched A-Revenue'!H37</f>
        <v>260151.0025</v>
      </c>
      <c r="M12" s="481">
        <f t="shared" si="0"/>
        <v>0.04496864875059862</v>
      </c>
      <c r="N12" s="3" t="s">
        <v>411</v>
      </c>
    </row>
    <row r="13" spans="1:14" s="3" customFormat="1" ht="16.5" customHeight="1" thickBot="1">
      <c r="A13" s="251"/>
      <c r="B13" s="264" t="s">
        <v>26</v>
      </c>
      <c r="D13" s="252"/>
      <c r="E13" s="265" t="s">
        <v>27</v>
      </c>
      <c r="F13" s="456">
        <v>0</v>
      </c>
      <c r="G13" s="458">
        <f>SUM('Sched A-Revenue'!D27:D36)</f>
        <v>512092</v>
      </c>
      <c r="H13" s="450">
        <f>F13+G13</f>
        <v>512092</v>
      </c>
      <c r="I13" s="457">
        <f>SUM('Sched A-Revenue'!E27:E38)</f>
        <v>780720.8818897638</v>
      </c>
      <c r="J13" s="457">
        <f>SUM('Sched A-Revenue'!F27:F38)</f>
        <v>783245.8818897638</v>
      </c>
      <c r="K13" s="457">
        <f>SUM('Sched A-Revenue'!G27:G38)</f>
        <v>785796.1318897638</v>
      </c>
      <c r="L13" s="457">
        <f>SUM('Sched A-Revenue'!H27:H38)</f>
        <v>788371.8843897637</v>
      </c>
      <c r="M13" s="481">
        <f t="shared" si="0"/>
        <v>0.09211234110396618</v>
      </c>
      <c r="N13" s="3" t="s">
        <v>411</v>
      </c>
    </row>
    <row r="14" spans="1:13" s="3" customFormat="1" ht="16.5" customHeight="1" thickBot="1" thickTop="1">
      <c r="A14" s="266"/>
      <c r="B14" s="267"/>
      <c r="C14" s="268" t="s">
        <v>351</v>
      </c>
      <c r="D14" s="269"/>
      <c r="E14" s="270"/>
      <c r="F14" s="271">
        <f aca="true" t="shared" si="1" ref="F14:L14">SUM(F10:F13)</f>
        <v>4797336.778625954</v>
      </c>
      <c r="G14" s="271">
        <f t="shared" si="1"/>
        <v>762092</v>
      </c>
      <c r="H14" s="271">
        <f t="shared" si="1"/>
        <v>5559428.778625954</v>
      </c>
      <c r="I14" s="271">
        <f t="shared" si="1"/>
        <v>5958419.221889764</v>
      </c>
      <c r="J14" s="271">
        <f t="shared" si="1"/>
        <v>6086168.405289764</v>
      </c>
      <c r="K14" s="271">
        <f t="shared" si="1"/>
        <v>6141747.880523764</v>
      </c>
      <c r="L14" s="271">
        <f t="shared" si="1"/>
        <v>6197883.150510104</v>
      </c>
      <c r="M14" s="482">
        <f t="shared" si="0"/>
        <v>1</v>
      </c>
    </row>
    <row r="15" spans="1:14" s="3" customFormat="1" ht="24.75" customHeight="1">
      <c r="A15" s="251"/>
      <c r="B15" s="264" t="s">
        <v>32</v>
      </c>
      <c r="D15" s="252"/>
      <c r="E15" s="52" t="s">
        <v>33</v>
      </c>
      <c r="F15" s="456">
        <v>0</v>
      </c>
      <c r="G15" s="459">
        <f>SUM('Sched A-Revenue'!D39:D41)</f>
        <v>0</v>
      </c>
      <c r="H15" s="450">
        <f>F15+G15</f>
        <v>0</v>
      </c>
      <c r="I15" s="457">
        <f>SUM('Sched A-Revenue'!E39:E41)</f>
        <v>0</v>
      </c>
      <c r="J15" s="457">
        <f>SUM('Sched A-Revenue'!F39:F41)</f>
        <v>0</v>
      </c>
      <c r="K15" s="457">
        <f>SUM('Sched A-Revenue'!G39:G41)</f>
        <v>0</v>
      </c>
      <c r="L15" s="457">
        <f>SUM('Sched A-Revenue'!H39:H41)</f>
        <v>0</v>
      </c>
      <c r="M15" s="481">
        <f t="shared" si="0"/>
        <v>0</v>
      </c>
      <c r="N15" s="3" t="s">
        <v>411</v>
      </c>
    </row>
    <row r="16" spans="1:13" s="3" customFormat="1" ht="6.75" customHeight="1" thickBot="1">
      <c r="A16" s="251"/>
      <c r="B16" s="264"/>
      <c r="D16" s="252"/>
      <c r="E16" s="272"/>
      <c r="F16" s="460"/>
      <c r="G16" s="460"/>
      <c r="H16" s="451"/>
      <c r="I16" s="451"/>
      <c r="J16" s="451"/>
      <c r="K16" s="451"/>
      <c r="L16" s="451"/>
      <c r="M16" s="480"/>
    </row>
    <row r="17" spans="1:13" s="3" customFormat="1" ht="12.75" thickBot="1" thickTop="1">
      <c r="A17" s="273"/>
      <c r="B17" s="274" t="s">
        <v>35</v>
      </c>
      <c r="C17" s="275"/>
      <c r="D17" s="276"/>
      <c r="E17" s="277"/>
      <c r="F17" s="278">
        <f aca="true" t="shared" si="2" ref="F17:L17">F14+F15</f>
        <v>4797336.778625954</v>
      </c>
      <c r="G17" s="278">
        <f t="shared" si="2"/>
        <v>762092</v>
      </c>
      <c r="H17" s="278">
        <f t="shared" si="2"/>
        <v>5559428.778625954</v>
      </c>
      <c r="I17" s="278">
        <f t="shared" si="2"/>
        <v>5958419.221889764</v>
      </c>
      <c r="J17" s="278">
        <f t="shared" si="2"/>
        <v>6086168.405289764</v>
      </c>
      <c r="K17" s="278">
        <f t="shared" si="2"/>
        <v>6141747.880523764</v>
      </c>
      <c r="L17" s="278">
        <f t="shared" si="2"/>
        <v>6197883.150510104</v>
      </c>
      <c r="M17" s="482">
        <f>H17/H$17</f>
        <v>1</v>
      </c>
    </row>
    <row r="18" spans="1:13" s="3" customFormat="1" ht="21.75" customHeight="1" thickTop="1">
      <c r="A18" s="259" t="s">
        <v>38</v>
      </c>
      <c r="B18" s="260"/>
      <c r="C18" s="260"/>
      <c r="D18" s="261"/>
      <c r="E18" s="262"/>
      <c r="F18" s="279"/>
      <c r="G18" s="279"/>
      <c r="H18" s="286"/>
      <c r="I18" s="286"/>
      <c r="J18" s="286"/>
      <c r="K18" s="286"/>
      <c r="L18" s="286"/>
      <c r="M18" s="480"/>
    </row>
    <row r="19" spans="1:13" s="3" customFormat="1" ht="19.5" customHeight="1">
      <c r="A19" s="251"/>
      <c r="B19" s="280" t="s">
        <v>39</v>
      </c>
      <c r="C19" s="264"/>
      <c r="D19" s="281"/>
      <c r="E19" s="262"/>
      <c r="F19" s="279"/>
      <c r="G19" s="279"/>
      <c r="H19" s="286"/>
      <c r="I19" s="286"/>
      <c r="J19" s="286"/>
      <c r="K19" s="286"/>
      <c r="L19" s="286"/>
      <c r="M19" s="480"/>
    </row>
    <row r="20" spans="1:14" s="3" customFormat="1" ht="16.5" customHeight="1">
      <c r="A20" s="251"/>
      <c r="B20" s="264"/>
      <c r="C20" s="264" t="s">
        <v>40</v>
      </c>
      <c r="D20" s="281"/>
      <c r="E20" s="52" t="s">
        <v>41</v>
      </c>
      <c r="F20" s="461">
        <f>'Sched B-Instruction'!G54</f>
        <v>1919830</v>
      </c>
      <c r="G20" s="461">
        <f>'Sched B-Instruction'!H54</f>
        <v>117690</v>
      </c>
      <c r="H20" s="450">
        <f aca="true" t="shared" si="3" ref="H20:H25">F20+G20</f>
        <v>2037520</v>
      </c>
      <c r="I20" s="450">
        <f>(H20*$I$7/$H$7)*(1+'Sched A-Revenue'!E$22)</f>
        <v>2143727.735433071</v>
      </c>
      <c r="J20" s="450">
        <f>(I20*$I$7/$H$7)*(1+'Sched A-Revenue'!F$22)</f>
        <v>2255471.6536107636</v>
      </c>
      <c r="K20" s="450">
        <f>(J20*$I$7/$H$7)*(1+'Sched A-Revenue'!G$22)</f>
        <v>2373040.33350764</v>
      </c>
      <c r="L20" s="450">
        <f>(K20*$I$7/$H$7)*(1+'Sched A-Revenue'!H$22)</f>
        <v>2496737.396561345</v>
      </c>
      <c r="M20" s="481">
        <f>H20/H$48</f>
        <v>0.37639419528408813</v>
      </c>
      <c r="N20" s="3" t="s">
        <v>412</v>
      </c>
    </row>
    <row r="21" spans="1:14" s="3" customFormat="1" ht="16.5" customHeight="1">
      <c r="A21" s="251"/>
      <c r="B21" s="264"/>
      <c r="C21" s="264" t="s">
        <v>43</v>
      </c>
      <c r="D21" s="281"/>
      <c r="E21" s="52" t="s">
        <v>44</v>
      </c>
      <c r="F21" s="461">
        <f>'Sched B-Instruction'!G73</f>
        <v>168017.8</v>
      </c>
      <c r="G21" s="461">
        <f>'Sched B-Instruction'!H73</f>
        <v>97200</v>
      </c>
      <c r="H21" s="450">
        <f t="shared" si="3"/>
        <v>265217.8</v>
      </c>
      <c r="I21" s="450">
        <f>(H21*$I$7/$H$7)*(1+'Sched A-Revenue'!E$22)</f>
        <v>279042.5388661417</v>
      </c>
      <c r="J21" s="450">
        <f>(I21*$I$7/$H$7)*(1+'Sched A-Revenue'!F$22)</f>
        <v>293587.9058527075</v>
      </c>
      <c r="K21" s="450">
        <f>(J21*$I$7/$H$7)*(1+'Sched A-Revenue'!G$22)</f>
        <v>308891.46440975415</v>
      </c>
      <c r="L21" s="450">
        <f>(K21*$I$7/$H$7)*(1+'Sched A-Revenue'!H$22)</f>
        <v>324992.7360191445</v>
      </c>
      <c r="M21" s="481">
        <f aca="true" t="shared" si="4" ref="M21:M43">H21/H$48</f>
        <v>0.048994091054819694</v>
      </c>
      <c r="N21" s="3" t="s">
        <v>412</v>
      </c>
    </row>
    <row r="22" spans="1:14" s="3" customFormat="1" ht="16.5" customHeight="1">
      <c r="A22" s="251"/>
      <c r="B22" s="264"/>
      <c r="C22" s="264" t="s">
        <v>46</v>
      </c>
      <c r="D22" s="281"/>
      <c r="E22" s="52" t="s">
        <v>47</v>
      </c>
      <c r="F22" s="461">
        <f>'Sched B-Instruction'!G88</f>
        <v>0</v>
      </c>
      <c r="G22" s="461">
        <f>'Sched B-Instruction'!H88</f>
        <v>0</v>
      </c>
      <c r="H22" s="450">
        <f t="shared" si="3"/>
        <v>0</v>
      </c>
      <c r="I22" s="450">
        <f>(H22*$I$7/$H$7)*(1+'Sched A-Revenue'!E$22)</f>
        <v>0</v>
      </c>
      <c r="J22" s="450">
        <f>(I22*$I$7/$H$7)*(1+'Sched A-Revenue'!F$22)</f>
        <v>0</v>
      </c>
      <c r="K22" s="450">
        <f>(J22*$I$7/$H$7)*(1+'Sched A-Revenue'!G$22)</f>
        <v>0</v>
      </c>
      <c r="L22" s="450">
        <f>(K22*$I$7/$H$7)*(1+'Sched A-Revenue'!H$22)</f>
        <v>0</v>
      </c>
      <c r="M22" s="481">
        <f t="shared" si="4"/>
        <v>0</v>
      </c>
      <c r="N22" s="3" t="s">
        <v>412</v>
      </c>
    </row>
    <row r="23" spans="1:14" s="3" customFormat="1" ht="16.5" customHeight="1">
      <c r="A23" s="251"/>
      <c r="B23" s="264"/>
      <c r="C23" s="264" t="s">
        <v>130</v>
      </c>
      <c r="D23" s="281"/>
      <c r="E23" s="52" t="s">
        <v>49</v>
      </c>
      <c r="F23" s="461">
        <f>'Sched B-Instruction'!G108</f>
        <v>330201.9</v>
      </c>
      <c r="G23" s="461">
        <f>'Sched B-Instruction'!H108</f>
        <v>20250</v>
      </c>
      <c r="H23" s="450">
        <f t="shared" si="3"/>
        <v>350451.9</v>
      </c>
      <c r="I23" s="450">
        <f>(H23*$I$7/$H$7)*(1+'Sched A-Revenue'!E$22)</f>
        <v>368719.5502204725</v>
      </c>
      <c r="J23" s="450">
        <f>(I23*$I$7/$H$7)*(1+'Sched A-Revenue'!F$22)</f>
        <v>387939.4196886578</v>
      </c>
      <c r="K23" s="450">
        <f>(J23*$I$7/$H$7)*(1+'Sched A-Revenue'!G$22)</f>
        <v>408161.14377006656</v>
      </c>
      <c r="L23" s="450">
        <f>(K23*$I$7/$H$7)*(1+'Sched A-Revenue'!H$22)</f>
        <v>429436.9451224905</v>
      </c>
      <c r="M23" s="481">
        <f t="shared" si="4"/>
        <v>0.0647395171023007</v>
      </c>
      <c r="N23" s="3" t="s">
        <v>412</v>
      </c>
    </row>
    <row r="24" spans="1:14" s="3" customFormat="1" ht="16.5" customHeight="1">
      <c r="A24" s="251"/>
      <c r="B24" s="264"/>
      <c r="C24" s="264" t="s">
        <v>51</v>
      </c>
      <c r="D24" s="281"/>
      <c r="E24" s="52" t="s">
        <v>52</v>
      </c>
      <c r="F24" s="461">
        <f>'Sched B-Instruction'!G122</f>
        <v>12500</v>
      </c>
      <c r="G24" s="461">
        <f>'Sched B-Instruction'!H122</f>
        <v>0</v>
      </c>
      <c r="H24" s="450">
        <f t="shared" si="3"/>
        <v>12500</v>
      </c>
      <c r="I24" s="450">
        <f>(H24*$I$7/$H$7)*(1+'Sched A-Revenue'!E$22)</f>
        <v>13151.574803149606</v>
      </c>
      <c r="J24" s="450">
        <f>(I24*$I$7/$H$7)*(1+'Sched A-Revenue'!F$22)</f>
        <v>13837.113584227169</v>
      </c>
      <c r="K24" s="450">
        <f>(J24*$I$7/$H$7)*(1+'Sched A-Revenue'!G$22)</f>
        <v>14558.386749011295</v>
      </c>
      <c r="L24" s="450">
        <f>(K24*$I$7/$H$7)*(1+'Sched A-Revenue'!H$22)</f>
        <v>15317.256987424325</v>
      </c>
      <c r="M24" s="481">
        <f t="shared" si="4"/>
        <v>0.0023091441757877723</v>
      </c>
      <c r="N24" s="3" t="s">
        <v>412</v>
      </c>
    </row>
    <row r="25" spans="1:14" s="3" customFormat="1" ht="16.5" customHeight="1" thickBot="1">
      <c r="A25" s="251"/>
      <c r="B25" s="264"/>
      <c r="C25" s="264" t="s">
        <v>54</v>
      </c>
      <c r="D25" s="281"/>
      <c r="E25" s="52" t="s">
        <v>55</v>
      </c>
      <c r="F25" s="461">
        <f>'Sched B-Instruction'!G137</f>
        <v>0</v>
      </c>
      <c r="G25" s="461">
        <f>'Sched B-Instruction'!H137</f>
        <v>0</v>
      </c>
      <c r="H25" s="450">
        <f t="shared" si="3"/>
        <v>0</v>
      </c>
      <c r="I25" s="450">
        <f>(H25*$I$7/$H$7)*(1+'Sched A-Revenue'!E$22)</f>
        <v>0</v>
      </c>
      <c r="J25" s="450">
        <f>(I25*$I$7/$H$7)*(1+'Sched A-Revenue'!F$22)</f>
        <v>0</v>
      </c>
      <c r="K25" s="450">
        <f>(J25*$I$7/$H$7)*(1+'Sched A-Revenue'!G$22)</f>
        <v>0</v>
      </c>
      <c r="L25" s="450">
        <f>(K25*$I$7/$H$7)*(1+'Sched A-Revenue'!H$22)</f>
        <v>0</v>
      </c>
      <c r="M25" s="481">
        <f t="shared" si="4"/>
        <v>0</v>
      </c>
      <c r="N25" s="3" t="s">
        <v>412</v>
      </c>
    </row>
    <row r="26" spans="1:13" s="3" customFormat="1" ht="16.5" customHeight="1" thickBot="1" thickTop="1">
      <c r="A26" s="266"/>
      <c r="B26" s="268"/>
      <c r="C26" s="268"/>
      <c r="D26" s="282" t="s">
        <v>57</v>
      </c>
      <c r="E26" s="270"/>
      <c r="F26" s="271">
        <f aca="true" t="shared" si="5" ref="F26:L26">SUM(F20:F25)</f>
        <v>2430549.7</v>
      </c>
      <c r="G26" s="271">
        <f t="shared" si="5"/>
        <v>235140</v>
      </c>
      <c r="H26" s="271">
        <f t="shared" si="5"/>
        <v>2665689.6999999997</v>
      </c>
      <c r="I26" s="271">
        <f t="shared" si="5"/>
        <v>2804641.3993228353</v>
      </c>
      <c r="J26" s="271">
        <f t="shared" si="5"/>
        <v>2950836.0927363564</v>
      </c>
      <c r="K26" s="271">
        <f t="shared" si="5"/>
        <v>3104651.328436472</v>
      </c>
      <c r="L26" s="271">
        <f t="shared" si="5"/>
        <v>3266484.334690404</v>
      </c>
      <c r="M26" s="482">
        <f t="shared" si="4"/>
        <v>0.49243694761699625</v>
      </c>
    </row>
    <row r="27" spans="1:13" s="3" customFormat="1" ht="19.5" customHeight="1">
      <c r="A27" s="251"/>
      <c r="B27" s="280" t="s">
        <v>59</v>
      </c>
      <c r="D27" s="252"/>
      <c r="E27" s="262"/>
      <c r="F27" s="279"/>
      <c r="G27" s="279"/>
      <c r="H27" s="286"/>
      <c r="I27" s="286"/>
      <c r="J27" s="286"/>
      <c r="K27" s="286"/>
      <c r="L27" s="286"/>
      <c r="M27" s="480"/>
    </row>
    <row r="28" spans="1:14" s="3" customFormat="1" ht="16.5" customHeight="1">
      <c r="A28" s="251"/>
      <c r="C28" s="264" t="s">
        <v>60</v>
      </c>
      <c r="D28" s="281"/>
      <c r="E28" s="52" t="s">
        <v>61</v>
      </c>
      <c r="F28" s="461">
        <f>'Sched C-Support Services'!G27</f>
        <v>168854.625</v>
      </c>
      <c r="G28" s="461">
        <f>'Sched C-Support Services'!H27</f>
        <v>235876.05</v>
      </c>
      <c r="H28" s="450">
        <f aca="true" t="shared" si="6" ref="H28:H35">F28+G28</f>
        <v>404730.675</v>
      </c>
      <c r="I28" s="450">
        <f>H28*$I$7/$H$7*(1+'Sched A-Revenue'!E$22)</f>
        <v>425827.65979133855</v>
      </c>
      <c r="J28" s="450">
        <f>I28*$I$7/$H$7*(1+'Sched A-Revenue'!F$22)</f>
        <v>448024.3456796745</v>
      </c>
      <c r="K28" s="450">
        <f>J28*$I$7/$H$7*(1+'Sched A-Revenue'!G$22)</f>
        <v>471378.05566707166</v>
      </c>
      <c r="L28" s="450">
        <f>K28*$I$7/$H$7*(1+'Sched A-Revenue'!H$22)</f>
        <v>495949.10077349696</v>
      </c>
      <c r="M28" s="481">
        <f t="shared" si="4"/>
        <v>0.07476651847511229</v>
      </c>
      <c r="N28" s="3" t="s">
        <v>413</v>
      </c>
    </row>
    <row r="29" spans="1:14" s="3" customFormat="1" ht="16.5" customHeight="1">
      <c r="A29" s="251"/>
      <c r="C29" s="264" t="s">
        <v>63</v>
      </c>
      <c r="D29" s="281"/>
      <c r="E29" s="52" t="s">
        <v>64</v>
      </c>
      <c r="F29" s="461">
        <f>'Sched C-Support Services'!G42</f>
        <v>22595.625</v>
      </c>
      <c r="G29" s="461">
        <f>'Sched C-Support Services'!H42</f>
        <v>0</v>
      </c>
      <c r="H29" s="450">
        <f t="shared" si="6"/>
        <v>22595.625</v>
      </c>
      <c r="I29" s="450">
        <f>H29*$I$7/$H$7*(1+'Sched A-Revenue'!E$22)</f>
        <v>23773.444192913386</v>
      </c>
      <c r="J29" s="450">
        <f>I29*$I$7/$H$7*(1+'Sched A-Revenue'!F$22)</f>
        <v>25012.65837052824</v>
      </c>
      <c r="K29" s="450">
        <f>J29*$I$7/$H$7*(1+'Sched A-Revenue'!G$22)</f>
        <v>26316.46780685026</v>
      </c>
      <c r="L29" s="450">
        <f>K29*$I$7/$H$7*(1+'Sched A-Revenue'!H$22)</f>
        <v>27688.239593317576</v>
      </c>
      <c r="M29" s="481">
        <f t="shared" si="4"/>
        <v>0.004174124469362766</v>
      </c>
      <c r="N29" s="3" t="s">
        <v>413</v>
      </c>
    </row>
    <row r="30" spans="1:14" s="3" customFormat="1" ht="16.5" customHeight="1">
      <c r="A30" s="251"/>
      <c r="C30" s="264" t="s">
        <v>66</v>
      </c>
      <c r="D30" s="281"/>
      <c r="E30" s="52" t="s">
        <v>67</v>
      </c>
      <c r="F30" s="461">
        <f>'Sched C-Support Services'!G62</f>
        <v>444754.30229007633</v>
      </c>
      <c r="G30" s="461">
        <f>'Sched C-Support Services'!H62</f>
        <v>0</v>
      </c>
      <c r="H30" s="450">
        <f t="shared" si="6"/>
        <v>444754.30229007633</v>
      </c>
      <c r="I30" s="450">
        <f>H30*$I$7/$H$7*(1+'Sched A-Revenue'!E$22)</f>
        <v>467937.5580472441</v>
      </c>
      <c r="J30" s="450">
        <f>I30*$I$7/$H$7*(1+'Sched A-Revenue'!F$22)</f>
        <v>492329.2638289193</v>
      </c>
      <c r="K30" s="450">
        <f>J30*$I$7/$H$7*(1+'Sched A-Revenue'!G$22)</f>
        <v>517992.4112820488</v>
      </c>
      <c r="L30" s="450">
        <f>K30*$I$7/$H$7*(1+'Sched A-Revenue'!H$22)</f>
        <v>544993.275555176</v>
      </c>
      <c r="M30" s="481">
        <f t="shared" si="4"/>
        <v>0.08216014454317472</v>
      </c>
      <c r="N30" s="3" t="s">
        <v>413</v>
      </c>
    </row>
    <row r="31" spans="1:14" s="3" customFormat="1" ht="16.5" customHeight="1">
      <c r="A31" s="251"/>
      <c r="C31" s="264" t="s">
        <v>69</v>
      </c>
      <c r="D31" s="281"/>
      <c r="E31" s="52" t="s">
        <v>70</v>
      </c>
      <c r="F31" s="461">
        <f>'Sched C-Support Services'!G79</f>
        <v>364390.65</v>
      </c>
      <c r="G31" s="461">
        <f>'Sched C-Support Services'!H79</f>
        <v>0</v>
      </c>
      <c r="H31" s="450">
        <f t="shared" si="6"/>
        <v>364390.65</v>
      </c>
      <c r="I31" s="450">
        <f>H31*$I$7/$H$7*(1+'Sched A-Revenue'!E$22)</f>
        <v>383384.8712834646</v>
      </c>
      <c r="J31" s="450">
        <f>I31*$I$7/$H$7*(1+'Sched A-Revenue'!F$22)</f>
        <v>403369.1850464294</v>
      </c>
      <c r="K31" s="450">
        <f>J31*$I$7/$H$7*(1+'Sched A-Revenue'!G$22)</f>
        <v>424395.20083388896</v>
      </c>
      <c r="L31" s="450">
        <f>K31*$I$7/$H$7*(1+'Sched A-Revenue'!H$22)</f>
        <v>446517.2183891673</v>
      </c>
      <c r="M31" s="481">
        <f t="shared" si="4"/>
        <v>0.06731444377272165</v>
      </c>
      <c r="N31" s="3" t="s">
        <v>413</v>
      </c>
    </row>
    <row r="32" spans="1:14" s="3" customFormat="1" ht="16.5" customHeight="1">
      <c r="A32" s="251"/>
      <c r="C32" s="264" t="s">
        <v>72</v>
      </c>
      <c r="D32" s="281"/>
      <c r="E32" s="52" t="s">
        <v>73</v>
      </c>
      <c r="F32" s="461">
        <f>'Sched C-Support Services'!G96</f>
        <v>0</v>
      </c>
      <c r="G32" s="461">
        <f>'Sched C-Support Services'!H96</f>
        <v>0</v>
      </c>
      <c r="H32" s="450">
        <f t="shared" si="6"/>
        <v>0</v>
      </c>
      <c r="I32" s="450">
        <f>H32*$I$7/$H$7*(1+'Sched A-Revenue'!E$22)</f>
        <v>0</v>
      </c>
      <c r="J32" s="450">
        <f>I32*$I$7/$H$7*(1+'Sched A-Revenue'!F$22)</f>
        <v>0</v>
      </c>
      <c r="K32" s="450">
        <f>J32*$I$7/$H$7*(1+'Sched A-Revenue'!G$22)</f>
        <v>0</v>
      </c>
      <c r="L32" s="450">
        <f>K32*$I$7/$H$7*(1+'Sched A-Revenue'!H$22)</f>
        <v>0</v>
      </c>
      <c r="M32" s="481">
        <f t="shared" si="4"/>
        <v>0</v>
      </c>
      <c r="N32" s="3" t="s">
        <v>413</v>
      </c>
    </row>
    <row r="33" spans="1:14" s="3" customFormat="1" ht="16.5" customHeight="1">
      <c r="A33" s="251"/>
      <c r="C33" s="264" t="s">
        <v>75</v>
      </c>
      <c r="D33" s="281"/>
      <c r="E33" s="52" t="s">
        <v>76</v>
      </c>
      <c r="F33" s="461">
        <f>'Sched C-Support Services'!G110</f>
        <v>911100</v>
      </c>
      <c r="G33" s="461">
        <f>'Sched C-Support Services'!H110</f>
        <v>0</v>
      </c>
      <c r="H33" s="450">
        <f t="shared" si="6"/>
        <v>911100</v>
      </c>
      <c r="I33" s="450">
        <f>H33*$I$7/$H$7*(1+'Sched A-Revenue'!E$22)</f>
        <v>958591.9842519686</v>
      </c>
      <c r="J33" s="450">
        <f>I33*$I$7/$H$7*(1+'Sched A-Revenue'!F$22)</f>
        <v>1008559.53492715</v>
      </c>
      <c r="K33" s="450">
        <f>J33*$I$7/$H$7*(1+'Sched A-Revenue'!G$22)</f>
        <v>1061131.6933619352</v>
      </c>
      <c r="L33" s="450">
        <f>K33*$I$7/$H$7*(1+'Sched A-Revenue'!H$22)</f>
        <v>1116444.227299384</v>
      </c>
      <c r="M33" s="481">
        <f t="shared" si="4"/>
        <v>0.16830890068481913</v>
      </c>
      <c r="N33" s="3" t="s">
        <v>413</v>
      </c>
    </row>
    <row r="34" spans="1:14" s="3" customFormat="1" ht="16.5" customHeight="1">
      <c r="A34" s="251"/>
      <c r="C34" s="264" t="s">
        <v>78</v>
      </c>
      <c r="D34" s="281"/>
      <c r="E34" s="52" t="s">
        <v>79</v>
      </c>
      <c r="F34" s="461">
        <f>'Sched C-Support Services'!G124</f>
        <v>300000</v>
      </c>
      <c r="G34" s="461">
        <f>'Sched C-Support Services'!H124</f>
        <v>0</v>
      </c>
      <c r="H34" s="450">
        <f t="shared" si="6"/>
        <v>300000</v>
      </c>
      <c r="I34" s="450">
        <f>H34*$I$7/$H$7*(1+'Sched A-Revenue'!E$22)</f>
        <v>315637.79527559056</v>
      </c>
      <c r="J34" s="450">
        <f>I34*$I$7/$H$7*(1+'Sched A-Revenue'!F$22)</f>
        <v>332090.72602145205</v>
      </c>
      <c r="K34" s="450">
        <f>J34*$I$7/$H$7*(1+'Sched A-Revenue'!G$22)</f>
        <v>349401.2819762711</v>
      </c>
      <c r="L34" s="450">
        <f>K34*$I$7/$H$7*(1+'Sched A-Revenue'!H$22)</f>
        <v>367614.1676981838</v>
      </c>
      <c r="M34" s="481">
        <f t="shared" si="4"/>
        <v>0.055419460218906536</v>
      </c>
      <c r="N34" s="3" t="s">
        <v>413</v>
      </c>
    </row>
    <row r="35" spans="1:14" s="3" customFormat="1" ht="16.5" customHeight="1" thickBot="1">
      <c r="A35" s="251"/>
      <c r="C35" s="264" t="s">
        <v>81</v>
      </c>
      <c r="D35" s="281"/>
      <c r="E35" s="265" t="s">
        <v>82</v>
      </c>
      <c r="F35" s="462">
        <f>'Sched C-Support Services'!G138</f>
        <v>0</v>
      </c>
      <c r="G35" s="462">
        <f>'Sched C-Support Services'!H138</f>
        <v>0</v>
      </c>
      <c r="H35" s="450">
        <f t="shared" si="6"/>
        <v>0</v>
      </c>
      <c r="I35" s="450">
        <f>H35*$I$7/$H$7*(1+'Sched A-Revenue'!E$22)</f>
        <v>0</v>
      </c>
      <c r="J35" s="450">
        <f>I35*$I$7/$H$7*(1+'Sched A-Revenue'!F$22)</f>
        <v>0</v>
      </c>
      <c r="K35" s="450">
        <f>J35*$I$7/$H$7*(1+'Sched A-Revenue'!G$22)</f>
        <v>0</v>
      </c>
      <c r="L35" s="450">
        <f>K35*$I$7/$H$7*(1+'Sched A-Revenue'!H$22)</f>
        <v>0</v>
      </c>
      <c r="M35" s="481">
        <f t="shared" si="4"/>
        <v>0</v>
      </c>
      <c r="N35" s="3" t="s">
        <v>413</v>
      </c>
    </row>
    <row r="36" spans="1:13" s="3" customFormat="1" ht="16.5" customHeight="1" thickBot="1" thickTop="1">
      <c r="A36" s="266"/>
      <c r="B36" s="267"/>
      <c r="C36" s="268"/>
      <c r="D36" s="282" t="s">
        <v>84</v>
      </c>
      <c r="E36" s="270"/>
      <c r="F36" s="271">
        <f aca="true" t="shared" si="7" ref="F36:L36">SUM(F28:F35)</f>
        <v>2211695.2022900763</v>
      </c>
      <c r="G36" s="271">
        <f t="shared" si="7"/>
        <v>235876.05</v>
      </c>
      <c r="H36" s="271">
        <f t="shared" si="7"/>
        <v>2447571.2522900766</v>
      </c>
      <c r="I36" s="271">
        <f t="shared" si="7"/>
        <v>2575153.3128425195</v>
      </c>
      <c r="J36" s="271">
        <f t="shared" si="7"/>
        <v>2709385.7138741533</v>
      </c>
      <c r="K36" s="271">
        <f t="shared" si="7"/>
        <v>2850615.1109280656</v>
      </c>
      <c r="L36" s="271">
        <f t="shared" si="7"/>
        <v>2999206.2293087253</v>
      </c>
      <c r="M36" s="482">
        <f t="shared" si="4"/>
        <v>0.45214359216409716</v>
      </c>
    </row>
    <row r="37" spans="1:13" s="3" customFormat="1" ht="24.75" customHeight="1">
      <c r="A37" s="251"/>
      <c r="B37" s="280" t="s">
        <v>86</v>
      </c>
      <c r="C37" s="264"/>
      <c r="D37" s="281"/>
      <c r="E37" s="262"/>
      <c r="F37" s="279"/>
      <c r="G37" s="279"/>
      <c r="H37" s="286"/>
      <c r="I37" s="286"/>
      <c r="J37" s="286"/>
      <c r="K37" s="286"/>
      <c r="L37" s="286"/>
      <c r="M37" s="480"/>
    </row>
    <row r="38" spans="1:14" s="3" customFormat="1" ht="16.5" customHeight="1">
      <c r="A38" s="251"/>
      <c r="B38" s="264"/>
      <c r="C38" s="264" t="s">
        <v>87</v>
      </c>
      <c r="D38" s="281"/>
      <c r="E38" s="52" t="s">
        <v>88</v>
      </c>
      <c r="F38" s="461">
        <f>'Sched D-NonInstructional'!G18</f>
        <v>50000</v>
      </c>
      <c r="G38" s="461">
        <f>'Sched D-NonInstructional'!H18</f>
        <v>250000</v>
      </c>
      <c r="H38" s="450">
        <f aca="true" t="shared" si="8" ref="H38:H43">F38+G38</f>
        <v>300000</v>
      </c>
      <c r="I38" s="450">
        <f>H38*$I$7/$H$7*(1+'Sched A-Revenue'!E$22)</f>
        <v>315637.79527559056</v>
      </c>
      <c r="J38" s="450">
        <f>I38*$I$7/$H$7*(1+'Sched A-Revenue'!F$22)</f>
        <v>332090.72602145205</v>
      </c>
      <c r="K38" s="450">
        <f>J38*$I$7/$H$7*(1+'Sched A-Revenue'!G$22)</f>
        <v>349401.2819762711</v>
      </c>
      <c r="L38" s="450">
        <f>K38*$I$7/$H$7*(1+'Sched A-Revenue'!H$22)</f>
        <v>367614.1676981838</v>
      </c>
      <c r="M38" s="481">
        <f t="shared" si="4"/>
        <v>0.055419460218906536</v>
      </c>
      <c r="N38" s="3" t="s">
        <v>414</v>
      </c>
    </row>
    <row r="39" spans="1:14" s="3" customFormat="1" ht="16.5" customHeight="1">
      <c r="A39" s="251"/>
      <c r="B39" s="264"/>
      <c r="C39" s="264" t="s">
        <v>90</v>
      </c>
      <c r="D39" s="281"/>
      <c r="E39" s="52" t="s">
        <v>91</v>
      </c>
      <c r="F39" s="461">
        <f>'Sched D-NonInstructional'!G33</f>
        <v>0</v>
      </c>
      <c r="G39" s="461">
        <f>'Sched D-NonInstructional'!H33</f>
        <v>0</v>
      </c>
      <c r="H39" s="450">
        <f t="shared" si="8"/>
        <v>0</v>
      </c>
      <c r="I39" s="450">
        <f aca="true" t="shared" si="9" ref="I39:L40">H39</f>
        <v>0</v>
      </c>
      <c r="J39" s="450">
        <f t="shared" si="9"/>
        <v>0</v>
      </c>
      <c r="K39" s="450">
        <f t="shared" si="9"/>
        <v>0</v>
      </c>
      <c r="L39" s="450">
        <f t="shared" si="9"/>
        <v>0</v>
      </c>
      <c r="M39" s="481">
        <f t="shared" si="4"/>
        <v>0</v>
      </c>
      <c r="N39" s="3" t="s">
        <v>414</v>
      </c>
    </row>
    <row r="40" spans="1:14" s="3" customFormat="1" ht="16.5" customHeight="1" thickBot="1">
      <c r="A40" s="251"/>
      <c r="B40" s="264"/>
      <c r="C40" s="264" t="s">
        <v>93</v>
      </c>
      <c r="D40" s="281"/>
      <c r="E40" s="265" t="s">
        <v>94</v>
      </c>
      <c r="F40" s="462">
        <f>'Sched D-NonInstructional'!G48</f>
        <v>0</v>
      </c>
      <c r="G40" s="462">
        <f>'Sched D-NonInstructional'!H48</f>
        <v>0</v>
      </c>
      <c r="H40" s="450">
        <f t="shared" si="8"/>
        <v>0</v>
      </c>
      <c r="I40" s="450">
        <f t="shared" si="9"/>
        <v>0</v>
      </c>
      <c r="J40" s="463">
        <f t="shared" si="9"/>
        <v>0</v>
      </c>
      <c r="K40" s="463">
        <f t="shared" si="9"/>
        <v>0</v>
      </c>
      <c r="L40" s="463">
        <f t="shared" si="9"/>
        <v>0</v>
      </c>
      <c r="M40" s="481">
        <f t="shared" si="4"/>
        <v>0</v>
      </c>
      <c r="N40" s="3" t="s">
        <v>414</v>
      </c>
    </row>
    <row r="41" spans="1:13" s="3" customFormat="1" ht="16.5" customHeight="1" thickBot="1" thickTop="1">
      <c r="A41" s="266"/>
      <c r="B41" s="268"/>
      <c r="C41" s="268"/>
      <c r="D41" s="282" t="s">
        <v>96</v>
      </c>
      <c r="E41" s="270"/>
      <c r="F41" s="271">
        <f aca="true" t="shared" si="10" ref="F41:L41">SUM(F38:F40)</f>
        <v>50000</v>
      </c>
      <c r="G41" s="271">
        <f t="shared" si="10"/>
        <v>250000</v>
      </c>
      <c r="H41" s="271">
        <f t="shared" si="10"/>
        <v>300000</v>
      </c>
      <c r="I41" s="271">
        <f t="shared" si="10"/>
        <v>315637.79527559056</v>
      </c>
      <c r="J41" s="271">
        <f t="shared" si="10"/>
        <v>332090.72602145205</v>
      </c>
      <c r="K41" s="271">
        <f t="shared" si="10"/>
        <v>349401.2819762711</v>
      </c>
      <c r="L41" s="271">
        <f t="shared" si="10"/>
        <v>367614.1676981838</v>
      </c>
      <c r="M41" s="482">
        <f t="shared" si="4"/>
        <v>0.055419460218906536</v>
      </c>
    </row>
    <row r="42" spans="1:13" s="3" customFormat="1" ht="30" customHeight="1">
      <c r="A42" s="251"/>
      <c r="B42" s="264" t="s">
        <v>98</v>
      </c>
      <c r="D42" s="252"/>
      <c r="E42" s="52" t="s">
        <v>27</v>
      </c>
      <c r="F42" s="456">
        <v>0</v>
      </c>
      <c r="G42" s="456">
        <v>0</v>
      </c>
      <c r="H42" s="450">
        <f t="shared" si="8"/>
        <v>0</v>
      </c>
      <c r="I42" s="450">
        <f aca="true" t="shared" si="11" ref="I42:L43">H42</f>
        <v>0</v>
      </c>
      <c r="J42" s="450">
        <f t="shared" si="11"/>
        <v>0</v>
      </c>
      <c r="K42" s="450">
        <f t="shared" si="11"/>
        <v>0</v>
      </c>
      <c r="L42" s="450">
        <f t="shared" si="11"/>
        <v>0</v>
      </c>
      <c r="M42" s="481">
        <f t="shared" si="4"/>
        <v>0</v>
      </c>
    </row>
    <row r="43" spans="1:13" s="3" customFormat="1" ht="30" customHeight="1">
      <c r="A43" s="251"/>
      <c r="B43" s="264" t="s">
        <v>100</v>
      </c>
      <c r="D43" s="252"/>
      <c r="E43" s="52" t="s">
        <v>101</v>
      </c>
      <c r="F43" s="456">
        <v>0</v>
      </c>
      <c r="G43" s="456">
        <v>0</v>
      </c>
      <c r="H43" s="450">
        <f t="shared" si="8"/>
        <v>0</v>
      </c>
      <c r="I43" s="450">
        <f t="shared" si="11"/>
        <v>0</v>
      </c>
      <c r="J43" s="450">
        <f t="shared" si="11"/>
        <v>0</v>
      </c>
      <c r="K43" s="450">
        <f t="shared" si="11"/>
        <v>0</v>
      </c>
      <c r="L43" s="450">
        <f t="shared" si="11"/>
        <v>0</v>
      </c>
      <c r="M43" s="481">
        <f t="shared" si="4"/>
        <v>0</v>
      </c>
    </row>
    <row r="44" spans="1:13" s="3" customFormat="1" ht="19.5" customHeight="1" thickBot="1">
      <c r="A44" s="251"/>
      <c r="D44" s="252"/>
      <c r="E44" s="262"/>
      <c r="F44" s="279"/>
      <c r="G44" s="279"/>
      <c r="H44" s="286"/>
      <c r="I44" s="286"/>
      <c r="J44" s="286"/>
      <c r="K44" s="286"/>
      <c r="L44" s="286"/>
      <c r="M44" s="480"/>
    </row>
    <row r="45" spans="1:13" s="3" customFormat="1" ht="16.5" customHeight="1" thickBot="1" thickTop="1">
      <c r="A45" s="266"/>
      <c r="B45" s="267"/>
      <c r="C45" s="268" t="s">
        <v>103</v>
      </c>
      <c r="D45" s="269"/>
      <c r="E45" s="270"/>
      <c r="F45" s="271">
        <f aca="true" t="shared" si="12" ref="F45:L45">F26+F36+F41+F42+F43</f>
        <v>4692244.902290076</v>
      </c>
      <c r="G45" s="271">
        <f t="shared" si="12"/>
        <v>721016.05</v>
      </c>
      <c r="H45" s="271">
        <f>H26+H36+H41+H42+H43</f>
        <v>5413260.952290077</v>
      </c>
      <c r="I45" s="271">
        <f t="shared" si="12"/>
        <v>5695432.507440945</v>
      </c>
      <c r="J45" s="271">
        <f t="shared" si="12"/>
        <v>5992312.532631962</v>
      </c>
      <c r="K45" s="271">
        <f t="shared" si="12"/>
        <v>6304667.721340809</v>
      </c>
      <c r="L45" s="271">
        <f t="shared" si="12"/>
        <v>6633304.7316973135</v>
      </c>
      <c r="M45" s="482">
        <f>H45/H$48</f>
        <v>1</v>
      </c>
    </row>
    <row r="46" spans="1:13" s="3" customFormat="1" ht="30" customHeight="1">
      <c r="A46" s="251"/>
      <c r="B46" s="264" t="s">
        <v>105</v>
      </c>
      <c r="D46" s="252"/>
      <c r="E46" s="52" t="s">
        <v>106</v>
      </c>
      <c r="F46" s="456">
        <v>0</v>
      </c>
      <c r="G46" s="456">
        <v>0</v>
      </c>
      <c r="H46" s="452">
        <f>F46+G46</f>
        <v>0</v>
      </c>
      <c r="I46" s="452">
        <f>H46</f>
        <v>0</v>
      </c>
      <c r="J46" s="452">
        <f>I46</f>
        <v>0</v>
      </c>
      <c r="K46" s="452">
        <f>J46</f>
        <v>0</v>
      </c>
      <c r="L46" s="452">
        <f>K46</f>
        <v>0</v>
      </c>
      <c r="M46" s="480"/>
    </row>
    <row r="47" spans="1:13" s="3" customFormat="1" ht="24.75" customHeight="1" thickBot="1">
      <c r="A47" s="251"/>
      <c r="D47" s="252"/>
      <c r="E47" s="262"/>
      <c r="F47" s="279"/>
      <c r="G47" s="279"/>
      <c r="H47" s="286"/>
      <c r="I47" s="286"/>
      <c r="J47" s="286"/>
      <c r="K47" s="286"/>
      <c r="L47" s="286"/>
      <c r="M47" s="480"/>
    </row>
    <row r="48" spans="1:13" s="3" customFormat="1" ht="16.5" customHeight="1" thickBot="1" thickTop="1">
      <c r="A48" s="273"/>
      <c r="B48" s="274" t="s">
        <v>108</v>
      </c>
      <c r="C48" s="275"/>
      <c r="D48" s="276"/>
      <c r="E48" s="277"/>
      <c r="F48" s="278">
        <f aca="true" t="shared" si="13" ref="F48:L48">F45+F46</f>
        <v>4692244.902290076</v>
      </c>
      <c r="G48" s="278">
        <f t="shared" si="13"/>
        <v>721016.05</v>
      </c>
      <c r="H48" s="278">
        <f t="shared" si="13"/>
        <v>5413260.952290077</v>
      </c>
      <c r="I48" s="278">
        <f t="shared" si="13"/>
        <v>5695432.507440945</v>
      </c>
      <c r="J48" s="278">
        <f t="shared" si="13"/>
        <v>5992312.532631962</v>
      </c>
      <c r="K48" s="278">
        <f t="shared" si="13"/>
        <v>6304667.721340809</v>
      </c>
      <c r="L48" s="278">
        <f t="shared" si="13"/>
        <v>6633304.7316973135</v>
      </c>
      <c r="M48" s="482">
        <f>H48/H$48</f>
        <v>1</v>
      </c>
    </row>
    <row r="49" spans="1:13" s="3" customFormat="1" ht="24.75" customHeight="1" thickTop="1">
      <c r="A49" s="259"/>
      <c r="B49" s="260"/>
      <c r="C49" s="260"/>
      <c r="D49" s="261"/>
      <c r="E49" s="262"/>
      <c r="F49" s="279"/>
      <c r="G49" s="279"/>
      <c r="H49" s="286"/>
      <c r="I49" s="286"/>
      <c r="J49" s="286"/>
      <c r="K49" s="286"/>
      <c r="L49" s="286"/>
      <c r="M49" s="480"/>
    </row>
    <row r="50" spans="1:13" s="3" customFormat="1" ht="30" customHeight="1">
      <c r="A50" s="251"/>
      <c r="B50" s="264" t="s">
        <v>109</v>
      </c>
      <c r="D50" s="252"/>
      <c r="E50" s="262"/>
      <c r="F50" s="279"/>
      <c r="G50" s="279"/>
      <c r="H50" s="279"/>
      <c r="I50" s="286"/>
      <c r="J50" s="286"/>
      <c r="K50" s="286"/>
      <c r="L50" s="286"/>
      <c r="M50" s="480"/>
    </row>
    <row r="51" spans="1:13" s="3" customFormat="1" ht="11.25">
      <c r="A51" s="251"/>
      <c r="C51" s="264" t="s">
        <v>110</v>
      </c>
      <c r="D51" s="252"/>
      <c r="E51" s="52"/>
      <c r="F51" s="283">
        <f aca="true" t="shared" si="14" ref="F51:L51">F17-F48</f>
        <v>105091.87633587793</v>
      </c>
      <c r="G51" s="283">
        <f t="shared" si="14"/>
        <v>41075.94999999995</v>
      </c>
      <c r="H51" s="283">
        <f t="shared" si="14"/>
        <v>146167.82633587718</v>
      </c>
      <c r="I51" s="283">
        <f t="shared" si="14"/>
        <v>262986.71444881894</v>
      </c>
      <c r="J51" s="283">
        <f t="shared" si="14"/>
        <v>93855.87265780196</v>
      </c>
      <c r="K51" s="283">
        <f t="shared" si="14"/>
        <v>-162919.84081704542</v>
      </c>
      <c r="L51" s="283">
        <f t="shared" si="14"/>
        <v>-435421.5811872091</v>
      </c>
      <c r="M51" s="480"/>
    </row>
    <row r="52" spans="1:13" s="3" customFormat="1" ht="24.75" customHeight="1">
      <c r="A52" s="251"/>
      <c r="B52" s="264"/>
      <c r="D52" s="252"/>
      <c r="E52" s="272"/>
      <c r="F52" s="530"/>
      <c r="G52" s="530"/>
      <c r="H52" s="452"/>
      <c r="I52" s="452"/>
      <c r="J52" s="452"/>
      <c r="K52" s="452"/>
      <c r="L52" s="452"/>
      <c r="M52" s="480"/>
    </row>
    <row r="53" spans="1:13" s="3" customFormat="1" ht="19.5" customHeight="1">
      <c r="A53" s="251"/>
      <c r="B53" s="264"/>
      <c r="D53" s="281" t="s">
        <v>120</v>
      </c>
      <c r="E53" s="272"/>
      <c r="F53" s="530"/>
      <c r="G53" s="530"/>
      <c r="H53" s="452">
        <v>100000</v>
      </c>
      <c r="I53" s="457">
        <f>H67</f>
        <v>246167.82633587718</v>
      </c>
      <c r="J53" s="457">
        <f>I67</f>
        <v>509154.5407846961</v>
      </c>
      <c r="K53" s="457">
        <f>J67</f>
        <v>603010.4134424981</v>
      </c>
      <c r="L53" s="457">
        <f>K67</f>
        <v>440090.57262545265</v>
      </c>
      <c r="M53" s="480"/>
    </row>
    <row r="54" spans="1:13" s="3" customFormat="1" ht="19.5" customHeight="1">
      <c r="A54" s="251"/>
      <c r="B54" s="264"/>
      <c r="C54" s="264" t="s">
        <v>416</v>
      </c>
      <c r="D54" s="252"/>
      <c r="E54" s="272"/>
      <c r="F54" s="530"/>
      <c r="G54" s="530"/>
      <c r="H54" s="452"/>
      <c r="I54" s="452"/>
      <c r="J54" s="452"/>
      <c r="K54" s="452"/>
      <c r="L54" s="452"/>
      <c r="M54" s="480"/>
    </row>
    <row r="55" spans="1:13" s="3" customFormat="1" ht="19.5" customHeight="1">
      <c r="A55" s="251"/>
      <c r="B55" s="264"/>
      <c r="D55" s="252" t="s">
        <v>417</v>
      </c>
      <c r="E55" s="272"/>
      <c r="F55" s="530"/>
      <c r="G55" s="530"/>
      <c r="H55" s="456">
        <f>H51</f>
        <v>146167.82633587718</v>
      </c>
      <c r="I55" s="456">
        <f>I51</f>
        <v>262986.71444881894</v>
      </c>
      <c r="J55" s="456">
        <f>J51</f>
        <v>93855.87265780196</v>
      </c>
      <c r="K55" s="456">
        <f>K51</f>
        <v>-162919.84081704542</v>
      </c>
      <c r="L55" s="456">
        <f>L51</f>
        <v>-435421.5811872091</v>
      </c>
      <c r="M55" s="480"/>
    </row>
    <row r="56" spans="1:13" s="3" customFormat="1" ht="19.5" customHeight="1">
      <c r="A56" s="251"/>
      <c r="B56" s="264"/>
      <c r="D56" s="252" t="s">
        <v>418</v>
      </c>
      <c r="E56" s="272"/>
      <c r="F56" s="530"/>
      <c r="G56" s="530"/>
      <c r="H56" s="452">
        <v>0</v>
      </c>
      <c r="I56" s="452">
        <v>0</v>
      </c>
      <c r="J56" s="452">
        <v>0</v>
      </c>
      <c r="K56" s="452">
        <v>0</v>
      </c>
      <c r="L56" s="452">
        <v>0</v>
      </c>
      <c r="M56" s="480"/>
    </row>
    <row r="57" spans="1:13" s="3" customFormat="1" ht="19.5" customHeight="1">
      <c r="A57" s="251"/>
      <c r="B57" s="264"/>
      <c r="D57" s="252" t="s">
        <v>419</v>
      </c>
      <c r="E57" s="272"/>
      <c r="F57" s="530"/>
      <c r="G57" s="530"/>
      <c r="H57" s="452">
        <v>0</v>
      </c>
      <c r="I57" s="452">
        <v>0</v>
      </c>
      <c r="J57" s="452">
        <v>0</v>
      </c>
      <c r="K57" s="452">
        <v>0</v>
      </c>
      <c r="L57" s="452">
        <v>0</v>
      </c>
      <c r="M57" s="480"/>
    </row>
    <row r="58" spans="1:13" s="3" customFormat="1" ht="19.5" customHeight="1">
      <c r="A58" s="251"/>
      <c r="B58" s="264"/>
      <c r="D58" s="252" t="s">
        <v>420</v>
      </c>
      <c r="E58" s="272"/>
      <c r="F58" s="530"/>
      <c r="G58" s="530"/>
      <c r="H58" s="452">
        <v>0</v>
      </c>
      <c r="I58" s="452">
        <v>0</v>
      </c>
      <c r="J58" s="452">
        <v>0</v>
      </c>
      <c r="K58" s="452">
        <v>0</v>
      </c>
      <c r="L58" s="452">
        <v>0</v>
      </c>
      <c r="M58" s="480"/>
    </row>
    <row r="59" spans="1:13" s="3" customFormat="1" ht="19.5" customHeight="1">
      <c r="A59" s="251"/>
      <c r="B59" s="264"/>
      <c r="D59" s="252" t="s">
        <v>421</v>
      </c>
      <c r="E59" s="272"/>
      <c r="F59" s="530"/>
      <c r="G59" s="530"/>
      <c r="H59" s="452">
        <v>0</v>
      </c>
      <c r="I59" s="452">
        <v>0</v>
      </c>
      <c r="J59" s="452">
        <v>0</v>
      </c>
      <c r="K59" s="452">
        <v>0</v>
      </c>
      <c r="L59" s="452">
        <v>0</v>
      </c>
      <c r="M59" s="480"/>
    </row>
    <row r="60" spans="1:13" s="3" customFormat="1" ht="19.5" customHeight="1">
      <c r="A60" s="251"/>
      <c r="B60" s="264"/>
      <c r="D60" s="252" t="s">
        <v>422</v>
      </c>
      <c r="E60" s="272"/>
      <c r="F60" s="530"/>
      <c r="G60" s="530"/>
      <c r="H60" s="452">
        <v>0</v>
      </c>
      <c r="I60" s="452">
        <v>0</v>
      </c>
      <c r="J60" s="452">
        <v>0</v>
      </c>
      <c r="K60" s="452">
        <v>0</v>
      </c>
      <c r="L60" s="452">
        <v>0</v>
      </c>
      <c r="M60" s="480"/>
    </row>
    <row r="61" spans="1:13" s="3" customFormat="1" ht="19.5" customHeight="1">
      <c r="A61" s="251"/>
      <c r="B61" s="264"/>
      <c r="D61" s="252" t="s">
        <v>423</v>
      </c>
      <c r="E61" s="272"/>
      <c r="F61" s="530"/>
      <c r="G61" s="530"/>
      <c r="H61" s="452">
        <v>0</v>
      </c>
      <c r="I61" s="452">
        <v>0</v>
      </c>
      <c r="J61" s="452">
        <v>0</v>
      </c>
      <c r="K61" s="452">
        <v>0</v>
      </c>
      <c r="L61" s="452">
        <v>0</v>
      </c>
      <c r="M61" s="480"/>
    </row>
    <row r="62" spans="1:13" s="3" customFormat="1" ht="19.5" customHeight="1">
      <c r="A62" s="251"/>
      <c r="B62" s="264"/>
      <c r="D62" s="252" t="s">
        <v>424</v>
      </c>
      <c r="E62" s="272"/>
      <c r="F62" s="530"/>
      <c r="G62" s="530"/>
      <c r="H62" s="452">
        <v>0</v>
      </c>
      <c r="I62" s="452">
        <v>0</v>
      </c>
      <c r="J62" s="452">
        <v>0</v>
      </c>
      <c r="K62" s="452">
        <v>0</v>
      </c>
      <c r="L62" s="452">
        <v>0</v>
      </c>
      <c r="M62" s="480"/>
    </row>
    <row r="63" spans="1:13" s="3" customFormat="1" ht="19.5" customHeight="1">
      <c r="A63" s="251"/>
      <c r="B63" s="264"/>
      <c r="C63" s="264" t="s">
        <v>425</v>
      </c>
      <c r="D63" s="252"/>
      <c r="E63" s="272"/>
      <c r="F63" s="530"/>
      <c r="G63" s="530"/>
      <c r="H63" s="452"/>
      <c r="I63" s="452"/>
      <c r="J63" s="452"/>
      <c r="K63" s="452"/>
      <c r="L63" s="452"/>
      <c r="M63" s="480"/>
    </row>
    <row r="64" spans="1:13" s="3" customFormat="1" ht="19.5" customHeight="1">
      <c r="A64" s="251"/>
      <c r="B64" s="264"/>
      <c r="D64" s="252" t="s">
        <v>426</v>
      </c>
      <c r="E64" s="272"/>
      <c r="F64" s="530"/>
      <c r="G64" s="530"/>
      <c r="H64" s="452">
        <v>0</v>
      </c>
      <c r="I64" s="452">
        <v>0</v>
      </c>
      <c r="J64" s="452">
        <v>0</v>
      </c>
      <c r="K64" s="452">
        <v>0</v>
      </c>
      <c r="L64" s="452">
        <v>0</v>
      </c>
      <c r="M64" s="480"/>
    </row>
    <row r="65" spans="1:13" s="3" customFormat="1" ht="19.5" customHeight="1">
      <c r="A65" s="251"/>
      <c r="B65" s="264"/>
      <c r="C65" s="264" t="s">
        <v>427</v>
      </c>
      <c r="D65" s="252"/>
      <c r="E65" s="272"/>
      <c r="F65" s="530"/>
      <c r="G65" s="530"/>
      <c r="H65" s="452"/>
      <c r="I65" s="452"/>
      <c r="J65" s="452"/>
      <c r="K65" s="452"/>
      <c r="L65" s="452"/>
      <c r="M65" s="480"/>
    </row>
    <row r="66" spans="1:13" s="3" customFormat="1" ht="19.5" customHeight="1">
      <c r="A66" s="251"/>
      <c r="B66" s="264"/>
      <c r="D66" s="252" t="s">
        <v>428</v>
      </c>
      <c r="E66" s="272"/>
      <c r="F66" s="530"/>
      <c r="G66" s="530"/>
      <c r="H66" s="452">
        <v>0</v>
      </c>
      <c r="I66" s="452">
        <v>0</v>
      </c>
      <c r="J66" s="452">
        <v>0</v>
      </c>
      <c r="K66" s="452">
        <v>0</v>
      </c>
      <c r="L66" s="452">
        <v>0</v>
      </c>
      <c r="M66" s="480"/>
    </row>
    <row r="67" spans="1:13" s="3" customFormat="1" ht="19.5" customHeight="1">
      <c r="A67" s="251"/>
      <c r="B67" s="264"/>
      <c r="D67" s="281" t="s">
        <v>429</v>
      </c>
      <c r="E67" s="52"/>
      <c r="F67" s="283"/>
      <c r="G67" s="283"/>
      <c r="H67" s="283">
        <f>SUM(H53:H66)</f>
        <v>246167.82633587718</v>
      </c>
      <c r="I67" s="283">
        <f>SUM(I53:I66)</f>
        <v>509154.5407846961</v>
      </c>
      <c r="J67" s="283">
        <f>SUM(J53:J66)</f>
        <v>603010.4134424981</v>
      </c>
      <c r="K67" s="283">
        <f>SUM(K53:K66)</f>
        <v>440090.57262545265</v>
      </c>
      <c r="L67" s="283">
        <f>SUM(L53:L66)</f>
        <v>4668.991438243538</v>
      </c>
      <c r="M67" s="480"/>
    </row>
    <row r="68" spans="1:13" s="3" customFormat="1" ht="13.5" customHeight="1" thickBot="1">
      <c r="A68" s="255"/>
      <c r="B68" s="256"/>
      <c r="C68" s="256"/>
      <c r="D68" s="257"/>
      <c r="E68" s="284"/>
      <c r="F68" s="257"/>
      <c r="G68" s="257"/>
      <c r="H68" s="287"/>
      <c r="I68" s="287"/>
      <c r="J68" s="287"/>
      <c r="K68" s="287"/>
      <c r="L68" s="287"/>
      <c r="M68" s="483"/>
    </row>
    <row r="69" ht="12" thickTop="1"/>
  </sheetData>
  <sheetProtection/>
  <mergeCells count="9">
    <mergeCell ref="N4:N6"/>
    <mergeCell ref="K4:K6"/>
    <mergeCell ref="L4:L6"/>
    <mergeCell ref="J4:J6"/>
    <mergeCell ref="G4:G6"/>
    <mergeCell ref="F4:F6"/>
    <mergeCell ref="H4:H6"/>
    <mergeCell ref="I4:I6"/>
    <mergeCell ref="M4:M6"/>
  </mergeCells>
  <printOptions/>
  <pageMargins left="0.75" right="0.75" top="0.62" bottom="0.57" header="0.5" footer="0.5"/>
  <pageSetup fitToHeight="3" fitToWidth="1" horizontalDpi="600" verticalDpi="600" orientation="landscape" scale="63" r:id="rId1"/>
  <ignoredErrors>
    <ignoredError sqref="F39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PageLayoutView="0" workbookViewId="0" topLeftCell="A1">
      <selection activeCell="N17" sqref="N17"/>
    </sheetView>
  </sheetViews>
  <sheetFormatPr defaultColWidth="8.88671875" defaultRowHeight="15"/>
  <cols>
    <col min="1" max="1" width="1.5625" style="250" customWidth="1"/>
    <col min="2" max="2" width="2.3359375" style="250" customWidth="1"/>
    <col min="3" max="3" width="8.88671875" style="250" customWidth="1"/>
    <col min="4" max="4" width="24.5546875" style="250" customWidth="1"/>
    <col min="5" max="5" width="6.77734375" style="250" customWidth="1"/>
    <col min="6" max="6" width="10.77734375" style="250" customWidth="1"/>
    <col min="7" max="7" width="10.6640625" style="250" customWidth="1"/>
    <col min="8" max="11" width="10.77734375" style="250" customWidth="1"/>
    <col min="12" max="13" width="10.77734375" style="250" hidden="1" customWidth="1"/>
    <col min="14" max="14" width="32.21484375" style="250" customWidth="1"/>
    <col min="15" max="16384" width="8.88671875" style="250" customWidth="1"/>
  </cols>
  <sheetData>
    <row r="1" spans="1:12" s="454" customFormat="1" ht="15.75">
      <c r="A1" s="425" t="str">
        <f>Control!C6</f>
        <v>Lake Area New Tech Early College High School 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</row>
    <row r="2" spans="1:12" s="454" customFormat="1" ht="15.75">
      <c r="A2" s="425" t="s">
        <v>467</v>
      </c>
      <c r="B2" s="453"/>
      <c r="C2" s="453"/>
      <c r="D2" s="455"/>
      <c r="E2" s="455"/>
      <c r="F2" s="453"/>
      <c r="G2" s="453"/>
      <c r="H2" s="453"/>
      <c r="I2" s="453"/>
      <c r="J2" s="453"/>
      <c r="K2" s="453"/>
      <c r="L2" s="453"/>
    </row>
    <row r="3" ht="12" thickBot="1"/>
    <row r="4" spans="1:15" s="3" customFormat="1" ht="15.75" customHeight="1" thickTop="1">
      <c r="A4" s="251"/>
      <c r="D4" s="252"/>
      <c r="E4" s="253" t="s">
        <v>9</v>
      </c>
      <c r="F4" s="557" t="s">
        <v>438</v>
      </c>
      <c r="G4" s="557" t="s">
        <v>494</v>
      </c>
      <c r="H4" s="557" t="s">
        <v>489</v>
      </c>
      <c r="I4" s="557" t="s">
        <v>490</v>
      </c>
      <c r="J4" s="557" t="s">
        <v>468</v>
      </c>
      <c r="K4" s="557" t="s">
        <v>469</v>
      </c>
      <c r="L4" s="557" t="s">
        <v>489</v>
      </c>
      <c r="M4" s="557" t="s">
        <v>490</v>
      </c>
      <c r="N4" s="557" t="s">
        <v>468</v>
      </c>
      <c r="O4" s="557" t="s">
        <v>469</v>
      </c>
    </row>
    <row r="5" spans="1:15" s="3" customFormat="1" ht="15" customHeight="1">
      <c r="A5" s="251"/>
      <c r="D5" s="252"/>
      <c r="E5" s="254" t="s">
        <v>15</v>
      </c>
      <c r="F5" s="560"/>
      <c r="G5" s="560"/>
      <c r="H5" s="560"/>
      <c r="I5" s="560"/>
      <c r="J5" s="558" t="s">
        <v>132</v>
      </c>
      <c r="K5" s="558" t="s">
        <v>132</v>
      </c>
      <c r="L5" s="560"/>
      <c r="M5" s="560"/>
      <c r="N5" s="558" t="s">
        <v>132</v>
      </c>
      <c r="O5" s="558" t="s">
        <v>132</v>
      </c>
    </row>
    <row r="6" spans="1:15" s="3" customFormat="1" ht="12.75" customHeight="1" thickBot="1">
      <c r="A6" s="255"/>
      <c r="B6" s="256"/>
      <c r="C6" s="256"/>
      <c r="D6" s="257"/>
      <c r="E6" s="258"/>
      <c r="F6" s="561"/>
      <c r="G6" s="561"/>
      <c r="H6" s="561"/>
      <c r="I6" s="561"/>
      <c r="J6" s="559"/>
      <c r="K6" s="559"/>
      <c r="L6" s="561"/>
      <c r="M6" s="561"/>
      <c r="N6" s="559"/>
      <c r="O6" s="559"/>
    </row>
    <row r="7" spans="1:13" s="3" customFormat="1" ht="12.75" customHeight="1" thickTop="1">
      <c r="A7" s="251"/>
      <c r="B7" s="447"/>
      <c r="C7" s="447"/>
      <c r="D7" s="252"/>
      <c r="E7" s="254"/>
      <c r="F7" s="448"/>
      <c r="G7" s="448"/>
      <c r="H7" s="448"/>
      <c r="I7" s="448"/>
      <c r="J7" s="448"/>
      <c r="K7" s="448"/>
      <c r="L7" s="448"/>
      <c r="M7" s="480"/>
    </row>
    <row r="8" spans="1:13" s="3" customFormat="1" ht="21.75" customHeight="1">
      <c r="A8" s="259" t="s">
        <v>17</v>
      </c>
      <c r="B8" s="260"/>
      <c r="C8" s="260"/>
      <c r="D8" s="261"/>
      <c r="E8" s="262"/>
      <c r="F8" s="263"/>
      <c r="G8" s="263"/>
      <c r="H8" s="285"/>
      <c r="I8" s="285"/>
      <c r="J8" s="285"/>
      <c r="K8" s="285"/>
      <c r="L8" s="285"/>
      <c r="M8" s="480"/>
    </row>
    <row r="9" spans="1:14" s="3" customFormat="1" ht="16.5" customHeight="1">
      <c r="A9" s="251"/>
      <c r="B9" s="264" t="s">
        <v>18</v>
      </c>
      <c r="D9" s="252"/>
      <c r="E9" s="52" t="s">
        <v>19</v>
      </c>
      <c r="F9" s="456">
        <v>2384781.224427481</v>
      </c>
      <c r="G9" s="456"/>
      <c r="H9" s="450">
        <f>Budget!F10</f>
        <v>2511336.7786259544</v>
      </c>
      <c r="I9" s="450">
        <f>Budget!G10</f>
        <v>0</v>
      </c>
      <c r="J9" s="531">
        <f>(H9-F9)/H9</f>
        <v>0.050393700787401546</v>
      </c>
      <c r="K9" s="531" t="e">
        <f>(I9-G9)/I9</f>
        <v>#DIV/0!</v>
      </c>
      <c r="L9" s="450"/>
      <c r="M9" s="481">
        <f aca="true" t="shared" si="0" ref="M9:M14">H9/H$16</f>
        <v>0.5234856118117369</v>
      </c>
      <c r="N9" s="3" t="s">
        <v>411</v>
      </c>
    </row>
    <row r="10" spans="1:14" s="3" customFormat="1" ht="16.5" customHeight="1">
      <c r="A10" s="251"/>
      <c r="B10" s="264" t="s">
        <v>126</v>
      </c>
      <c r="D10" s="252"/>
      <c r="E10" s="52" t="s">
        <v>22</v>
      </c>
      <c r="F10" s="456">
        <v>2093508.2885496183</v>
      </c>
      <c r="G10" s="456">
        <v>0</v>
      </c>
      <c r="H10" s="450">
        <f>Budget!F11</f>
        <v>2286000</v>
      </c>
      <c r="I10" s="450">
        <f>Budget!G11</f>
        <v>0</v>
      </c>
      <c r="J10" s="531">
        <f>(H10-F10)/H10</f>
        <v>0.08420459818476889</v>
      </c>
      <c r="K10" s="531" t="e">
        <f>(I10-G10)/G10</f>
        <v>#DIV/0!</v>
      </c>
      <c r="L10" s="450"/>
      <c r="M10" s="481">
        <f t="shared" si="0"/>
        <v>0.4765143881882632</v>
      </c>
      <c r="N10" s="3" t="s">
        <v>411</v>
      </c>
    </row>
    <row r="11" spans="1:14" s="3" customFormat="1" ht="16.5" customHeight="1">
      <c r="A11" s="251"/>
      <c r="B11" s="264" t="s">
        <v>129</v>
      </c>
      <c r="D11" s="252"/>
      <c r="E11" s="52" t="s">
        <v>22</v>
      </c>
      <c r="F11" s="456">
        <v>250000</v>
      </c>
      <c r="G11" s="456">
        <v>250000</v>
      </c>
      <c r="H11" s="450">
        <f>Budget!F12</f>
        <v>0</v>
      </c>
      <c r="I11" s="450">
        <f>Budget!G12</f>
        <v>250000</v>
      </c>
      <c r="J11" s="531" t="e">
        <f>(H11-F10)/H11</f>
        <v>#DIV/0!</v>
      </c>
      <c r="K11" s="531">
        <f>(I11-G11)/I11</f>
        <v>0</v>
      </c>
      <c r="L11" s="457"/>
      <c r="M11" s="481">
        <f t="shared" si="0"/>
        <v>0</v>
      </c>
      <c r="N11" s="3" t="s">
        <v>411</v>
      </c>
    </row>
    <row r="12" spans="1:14" s="3" customFormat="1" ht="16.5" customHeight="1" thickBot="1">
      <c r="A12" s="251"/>
      <c r="B12" s="264" t="s">
        <v>26</v>
      </c>
      <c r="D12" s="252"/>
      <c r="E12" s="265" t="s">
        <v>27</v>
      </c>
      <c r="F12" s="456">
        <v>0</v>
      </c>
      <c r="G12" s="458">
        <v>681090</v>
      </c>
      <c r="H12" s="450">
        <f>Budget!F13</f>
        <v>0</v>
      </c>
      <c r="I12" s="450">
        <f>Budget!G13</f>
        <v>512092</v>
      </c>
      <c r="J12" s="531" t="e">
        <f>(H12-F12)/F12</f>
        <v>#DIV/0!</v>
      </c>
      <c r="K12" s="531">
        <f>(I12-G12)/I12</f>
        <v>-0.3300149191942073</v>
      </c>
      <c r="L12" s="457"/>
      <c r="M12" s="481">
        <f t="shared" si="0"/>
        <v>0</v>
      </c>
      <c r="N12" s="3" t="s">
        <v>411</v>
      </c>
    </row>
    <row r="13" spans="1:13" s="3" customFormat="1" ht="16.5" customHeight="1" thickBot="1" thickTop="1">
      <c r="A13" s="266"/>
      <c r="B13" s="267"/>
      <c r="C13" s="268" t="s">
        <v>351</v>
      </c>
      <c r="D13" s="269"/>
      <c r="E13" s="270"/>
      <c r="F13" s="271">
        <f>SUM(F9:F12)</f>
        <v>4728289.512977099</v>
      </c>
      <c r="G13" s="271">
        <f>SUM(G9:G12)</f>
        <v>931090</v>
      </c>
      <c r="H13" s="271">
        <f>SUM(H9:H12)</f>
        <v>4797336.778625954</v>
      </c>
      <c r="I13" s="271">
        <f>SUM(I9:I12)</f>
        <v>762092</v>
      </c>
      <c r="J13" s="532">
        <f>(H13-F13)/H13</f>
        <v>0.01439283269761005</v>
      </c>
      <c r="K13" s="532">
        <f>(I13-G13)/I13</f>
        <v>-0.22175537861570518</v>
      </c>
      <c r="L13" s="271"/>
      <c r="M13" s="482">
        <f t="shared" si="0"/>
        <v>1</v>
      </c>
    </row>
    <row r="14" spans="1:14" s="3" customFormat="1" ht="24.75" customHeight="1">
      <c r="A14" s="251"/>
      <c r="B14" s="264" t="s">
        <v>32</v>
      </c>
      <c r="D14" s="252"/>
      <c r="E14" s="52" t="s">
        <v>33</v>
      </c>
      <c r="F14" s="456"/>
      <c r="G14" s="459"/>
      <c r="H14" s="450"/>
      <c r="I14" s="450"/>
      <c r="J14" s="531" t="e">
        <f>(H14-F14)/F14</f>
        <v>#DIV/0!</v>
      </c>
      <c r="K14" s="531" t="e">
        <f>(I14-G14)/G14</f>
        <v>#DIV/0!</v>
      </c>
      <c r="L14" s="457"/>
      <c r="M14" s="481">
        <f t="shared" si="0"/>
        <v>0</v>
      </c>
      <c r="N14" s="3" t="s">
        <v>411</v>
      </c>
    </row>
    <row r="15" spans="1:13" s="3" customFormat="1" ht="6.75" customHeight="1" thickBot="1">
      <c r="A15" s="251"/>
      <c r="B15" s="264"/>
      <c r="D15" s="252"/>
      <c r="E15" s="272"/>
      <c r="F15" s="460"/>
      <c r="G15" s="460"/>
      <c r="H15" s="450"/>
      <c r="I15" s="450"/>
      <c r="J15" s="533"/>
      <c r="K15" s="533"/>
      <c r="L15" s="451"/>
      <c r="M15" s="480"/>
    </row>
    <row r="16" spans="1:13" s="3" customFormat="1" ht="12.75" thickBot="1" thickTop="1">
      <c r="A16" s="273"/>
      <c r="B16" s="274" t="s">
        <v>35</v>
      </c>
      <c r="C16" s="275"/>
      <c r="D16" s="276"/>
      <c r="E16" s="277"/>
      <c r="F16" s="278">
        <f>F13+F14</f>
        <v>4728289.512977099</v>
      </c>
      <c r="G16" s="278">
        <f>G13+G14</f>
        <v>931090</v>
      </c>
      <c r="H16" s="278">
        <f>H13+H14</f>
        <v>4797336.778625954</v>
      </c>
      <c r="I16" s="278">
        <f>I13+I14</f>
        <v>762092</v>
      </c>
      <c r="J16" s="534">
        <f>(H16-F16)/H16</f>
        <v>0.01439283269761005</v>
      </c>
      <c r="K16" s="534">
        <f>(I16-G16)/I16</f>
        <v>-0.22175537861570518</v>
      </c>
      <c r="L16" s="278"/>
      <c r="M16" s="482">
        <f>H16/H$16</f>
        <v>1</v>
      </c>
    </row>
    <row r="17" spans="1:13" s="3" customFormat="1" ht="21.75" customHeight="1" thickTop="1">
      <c r="A17" s="259" t="s">
        <v>38</v>
      </c>
      <c r="B17" s="260"/>
      <c r="C17" s="260"/>
      <c r="D17" s="261"/>
      <c r="E17" s="262"/>
      <c r="F17" s="279"/>
      <c r="G17" s="279"/>
      <c r="H17" s="279"/>
      <c r="I17" s="279"/>
      <c r="J17" s="535"/>
      <c r="K17" s="535"/>
      <c r="L17" s="286"/>
      <c r="M17" s="480"/>
    </row>
    <row r="18" spans="1:13" s="3" customFormat="1" ht="19.5" customHeight="1">
      <c r="A18" s="251"/>
      <c r="B18" s="280" t="s">
        <v>39</v>
      </c>
      <c r="C18" s="264"/>
      <c r="D18" s="281"/>
      <c r="E18" s="262"/>
      <c r="F18" s="279"/>
      <c r="G18" s="279"/>
      <c r="H18" s="279"/>
      <c r="I18" s="279"/>
      <c r="J18" s="535"/>
      <c r="K18" s="535"/>
      <c r="L18" s="286"/>
      <c r="M18" s="480"/>
    </row>
    <row r="19" spans="1:14" s="3" customFormat="1" ht="16.5" customHeight="1">
      <c r="A19" s="251"/>
      <c r="B19" s="264"/>
      <c r="C19" s="264" t="s">
        <v>40</v>
      </c>
      <c r="D19" s="281"/>
      <c r="E19" s="52" t="s">
        <v>41</v>
      </c>
      <c r="F19" s="461">
        <v>1649211.2000000002</v>
      </c>
      <c r="G19" s="461">
        <v>331575</v>
      </c>
      <c r="H19" s="450">
        <f>Budget!F20</f>
        <v>1919830</v>
      </c>
      <c r="I19" s="450">
        <f>Budget!G20</f>
        <v>117690</v>
      </c>
      <c r="J19" s="531">
        <f>(H19-F19)/H19</f>
        <v>0.1409597724798549</v>
      </c>
      <c r="K19" s="531">
        <f>(I19-G19)/I19</f>
        <v>-1.8173591639051747</v>
      </c>
      <c r="L19" s="450"/>
      <c r="M19" s="481">
        <f>H19/H$47</f>
        <v>0.409149573387147</v>
      </c>
      <c r="N19" s="3" t="s">
        <v>412</v>
      </c>
    </row>
    <row r="20" spans="1:14" s="3" customFormat="1" ht="16.5" customHeight="1">
      <c r="A20" s="251"/>
      <c r="B20" s="264"/>
      <c r="C20" s="264" t="s">
        <v>43</v>
      </c>
      <c r="D20" s="281"/>
      <c r="E20" s="52" t="s">
        <v>44</v>
      </c>
      <c r="F20" s="461">
        <v>188017.8</v>
      </c>
      <c r="G20" s="461">
        <v>124200</v>
      </c>
      <c r="H20" s="450">
        <f>Budget!F21</f>
        <v>168017.8</v>
      </c>
      <c r="I20" s="450">
        <f>Budget!G21</f>
        <v>97200</v>
      </c>
      <c r="J20" s="531">
        <f>(H20-F20)/F20</f>
        <v>-0.10637290724601607</v>
      </c>
      <c r="K20" s="531">
        <f>(I20-G20)/I20</f>
        <v>-0.2777777777777778</v>
      </c>
      <c r="L20" s="450"/>
      <c r="M20" s="481">
        <f aca="true" t="shared" si="1" ref="M20:M42">H20/H$47</f>
        <v>0.03580755128914903</v>
      </c>
      <c r="N20" s="3" t="s">
        <v>412</v>
      </c>
    </row>
    <row r="21" spans="1:14" s="3" customFormat="1" ht="16.5" customHeight="1">
      <c r="A21" s="251"/>
      <c r="B21" s="264"/>
      <c r="C21" s="264" t="s">
        <v>46</v>
      </c>
      <c r="D21" s="281"/>
      <c r="E21" s="52" t="s">
        <v>47</v>
      </c>
      <c r="F21" s="461">
        <v>0</v>
      </c>
      <c r="G21" s="461">
        <v>0</v>
      </c>
      <c r="H21" s="450">
        <f>Budget!F22</f>
        <v>0</v>
      </c>
      <c r="I21" s="450">
        <f>Budget!G22</f>
        <v>0</v>
      </c>
      <c r="J21" s="531" t="e">
        <f>(H21-F21)/H21</f>
        <v>#DIV/0!</v>
      </c>
      <c r="K21" s="531" t="e">
        <f>(I21-G21)/I21</f>
        <v>#DIV/0!</v>
      </c>
      <c r="L21" s="450"/>
      <c r="M21" s="481">
        <f t="shared" si="1"/>
        <v>0</v>
      </c>
      <c r="N21" s="3" t="s">
        <v>412</v>
      </c>
    </row>
    <row r="22" spans="1:14" s="3" customFormat="1" ht="16.5" customHeight="1">
      <c r="A22" s="251"/>
      <c r="B22" s="264"/>
      <c r="C22" s="264" t="s">
        <v>130</v>
      </c>
      <c r="D22" s="281"/>
      <c r="E22" s="52" t="s">
        <v>49</v>
      </c>
      <c r="F22" s="461">
        <v>295471.8</v>
      </c>
      <c r="G22" s="461">
        <v>20250</v>
      </c>
      <c r="H22" s="450">
        <f>Budget!F23</f>
        <v>330201.9</v>
      </c>
      <c r="I22" s="450">
        <f>Budget!G23</f>
        <v>20250</v>
      </c>
      <c r="J22" s="531">
        <f aca="true" t="shared" si="2" ref="J22:K25">(H22-F22)/F22</f>
        <v>0.11754116636511516</v>
      </c>
      <c r="K22" s="531">
        <f>(I22-G22)/I22</f>
        <v>0</v>
      </c>
      <c r="L22" s="450"/>
      <c r="M22" s="481">
        <f t="shared" si="1"/>
        <v>0.07037183840060078</v>
      </c>
      <c r="N22" s="3" t="s">
        <v>412</v>
      </c>
    </row>
    <row r="23" spans="1:14" s="3" customFormat="1" ht="16.5" customHeight="1">
      <c r="A23" s="251"/>
      <c r="B23" s="264"/>
      <c r="C23" s="264" t="s">
        <v>51</v>
      </c>
      <c r="D23" s="281"/>
      <c r="E23" s="52" t="s">
        <v>52</v>
      </c>
      <c r="F23" s="461">
        <v>0</v>
      </c>
      <c r="G23" s="461">
        <v>0</v>
      </c>
      <c r="H23" s="450">
        <f>Budget!F24</f>
        <v>12500</v>
      </c>
      <c r="I23" s="450">
        <f>Budget!G24</f>
        <v>0</v>
      </c>
      <c r="J23" s="531" t="e">
        <f t="shared" si="2"/>
        <v>#DIV/0!</v>
      </c>
      <c r="K23" s="531" t="e">
        <f>(I23-G23)/I23</f>
        <v>#DIV/0!</v>
      </c>
      <c r="L23" s="450"/>
      <c r="M23" s="481">
        <f t="shared" si="1"/>
        <v>0.0026639700740895486</v>
      </c>
      <c r="N23" s="3" t="s">
        <v>412</v>
      </c>
    </row>
    <row r="24" spans="1:14" s="3" customFormat="1" ht="16.5" customHeight="1" thickBot="1">
      <c r="A24" s="251"/>
      <c r="B24" s="264"/>
      <c r="C24" s="264" t="s">
        <v>54</v>
      </c>
      <c r="D24" s="281"/>
      <c r="E24" s="52" t="s">
        <v>55</v>
      </c>
      <c r="F24" s="461">
        <v>0</v>
      </c>
      <c r="G24" s="461">
        <v>0</v>
      </c>
      <c r="H24" s="450">
        <f>Budget!F25</f>
        <v>0</v>
      </c>
      <c r="I24" s="450">
        <f>Budget!G25</f>
        <v>0</v>
      </c>
      <c r="J24" s="531" t="e">
        <f t="shared" si="2"/>
        <v>#DIV/0!</v>
      </c>
      <c r="K24" s="531" t="e">
        <f>(I24-G24)/I24</f>
        <v>#DIV/0!</v>
      </c>
      <c r="L24" s="450"/>
      <c r="M24" s="481">
        <f t="shared" si="1"/>
        <v>0</v>
      </c>
      <c r="N24" s="3" t="s">
        <v>412</v>
      </c>
    </row>
    <row r="25" spans="1:13" s="3" customFormat="1" ht="16.5" customHeight="1" thickBot="1" thickTop="1">
      <c r="A25" s="266"/>
      <c r="B25" s="268"/>
      <c r="C25" s="268"/>
      <c r="D25" s="282" t="s">
        <v>57</v>
      </c>
      <c r="E25" s="270"/>
      <c r="F25" s="271">
        <f>SUM(F19:F24)</f>
        <v>2132700.8000000003</v>
      </c>
      <c r="G25" s="271">
        <f>SUM(G19:G24)</f>
        <v>476025</v>
      </c>
      <c r="H25" s="271">
        <f>SUM(H19:H24)</f>
        <v>2430549.7</v>
      </c>
      <c r="I25" s="271">
        <f>SUM(I19:I24)</f>
        <v>235140</v>
      </c>
      <c r="J25" s="536">
        <f t="shared" si="2"/>
        <v>0.13965808049586698</v>
      </c>
      <c r="K25" s="536">
        <f t="shared" si="2"/>
        <v>-0.5060343469355602</v>
      </c>
      <c r="L25" s="271"/>
      <c r="M25" s="482">
        <f t="shared" si="1"/>
        <v>0.5179929331509864</v>
      </c>
    </row>
    <row r="26" spans="1:13" s="3" customFormat="1" ht="19.5" customHeight="1">
      <c r="A26" s="251"/>
      <c r="B26" s="280" t="s">
        <v>59</v>
      </c>
      <c r="D26" s="252"/>
      <c r="E26" s="262"/>
      <c r="F26" s="279"/>
      <c r="G26" s="279"/>
      <c r="H26" s="450">
        <f>Budget!F27</f>
        <v>0</v>
      </c>
      <c r="I26" s="450">
        <f>Budget!G27</f>
        <v>0</v>
      </c>
      <c r="J26" s="535"/>
      <c r="K26" s="535"/>
      <c r="L26" s="286"/>
      <c r="M26" s="480"/>
    </row>
    <row r="27" spans="1:14" s="3" customFormat="1" ht="16.5" customHeight="1">
      <c r="A27" s="251"/>
      <c r="C27" s="264" t="s">
        <v>60</v>
      </c>
      <c r="D27" s="281"/>
      <c r="E27" s="52" t="s">
        <v>61</v>
      </c>
      <c r="F27" s="461">
        <v>133650</v>
      </c>
      <c r="G27" s="461">
        <v>264897.675</v>
      </c>
      <c r="H27" s="450">
        <f>Budget!F28</f>
        <v>168854.625</v>
      </c>
      <c r="I27" s="450">
        <f>Budget!G28</f>
        <v>235876.05</v>
      </c>
      <c r="J27" s="531">
        <f>(H27-F27)/H27</f>
        <v>0.2084907357438388</v>
      </c>
      <c r="K27" s="531">
        <f>(I27-G27)/I27</f>
        <v>-0.12303760809967779</v>
      </c>
      <c r="L27" s="450"/>
      <c r="M27" s="481">
        <f t="shared" si="1"/>
        <v>0.035985893429729035</v>
      </c>
      <c r="N27" s="3" t="s">
        <v>413</v>
      </c>
    </row>
    <row r="28" spans="1:14" s="3" customFormat="1" ht="16.5" customHeight="1">
      <c r="A28" s="251"/>
      <c r="C28" s="264" t="s">
        <v>63</v>
      </c>
      <c r="D28" s="281"/>
      <c r="E28" s="52" t="s">
        <v>64</v>
      </c>
      <c r="F28" s="461">
        <v>22595.625</v>
      </c>
      <c r="G28" s="461">
        <v>0</v>
      </c>
      <c r="H28" s="450">
        <f>Budget!F29</f>
        <v>22595.625</v>
      </c>
      <c r="I28" s="450">
        <f>Budget!G29</f>
        <v>0</v>
      </c>
      <c r="J28" s="531">
        <f>(H28-F28)/F28</f>
        <v>0</v>
      </c>
      <c r="K28" s="531" t="e">
        <f>(I28-G28)/G28</f>
        <v>#DIV/0!</v>
      </c>
      <c r="L28" s="450"/>
      <c r="M28" s="481">
        <f t="shared" si="1"/>
        <v>0.004815525504427973</v>
      </c>
      <c r="N28" s="3" t="s">
        <v>413</v>
      </c>
    </row>
    <row r="29" spans="1:14" s="3" customFormat="1" ht="16.5" customHeight="1">
      <c r="A29" s="251"/>
      <c r="C29" s="264" t="s">
        <v>66</v>
      </c>
      <c r="D29" s="281"/>
      <c r="E29" s="52" t="s">
        <v>67</v>
      </c>
      <c r="F29" s="461">
        <v>219610.625</v>
      </c>
      <c r="G29" s="461">
        <v>0</v>
      </c>
      <c r="H29" s="450">
        <f>Budget!F30</f>
        <v>444754.30229007633</v>
      </c>
      <c r="I29" s="450">
        <f>Budget!G30</f>
        <v>0</v>
      </c>
      <c r="J29" s="531">
        <f>(H29-F29)/H29</f>
        <v>0.5062203471237784</v>
      </c>
      <c r="K29" s="531" t="e">
        <f>(I29-G29)/I29</f>
        <v>#DIV/0!</v>
      </c>
      <c r="L29" s="450"/>
      <c r="M29" s="481">
        <f t="shared" si="1"/>
        <v>0.09478497212986721</v>
      </c>
      <c r="N29" s="3" t="s">
        <v>413</v>
      </c>
    </row>
    <row r="30" spans="1:14" s="3" customFormat="1" ht="16.5" customHeight="1">
      <c r="A30" s="251"/>
      <c r="C30" s="264" t="s">
        <v>69</v>
      </c>
      <c r="D30" s="281"/>
      <c r="E30" s="52" t="s">
        <v>70</v>
      </c>
      <c r="F30" s="461">
        <v>333366.3</v>
      </c>
      <c r="G30" s="461">
        <v>0</v>
      </c>
      <c r="H30" s="450">
        <f>Budget!F31</f>
        <v>364390.65</v>
      </c>
      <c r="I30" s="450">
        <f>Budget!G31</f>
        <v>0</v>
      </c>
      <c r="J30" s="531">
        <f aca="true" t="shared" si="3" ref="J30:K33">(H30-F30)/F30</f>
        <v>0.09306384598563212</v>
      </c>
      <c r="K30" s="531" t="e">
        <f t="shared" si="3"/>
        <v>#DIV/0!</v>
      </c>
      <c r="L30" s="450"/>
      <c r="M30" s="481">
        <f t="shared" si="1"/>
        <v>0.0776580629502431</v>
      </c>
      <c r="N30" s="3" t="s">
        <v>413</v>
      </c>
    </row>
    <row r="31" spans="1:14" s="3" customFormat="1" ht="16.5" customHeight="1">
      <c r="A31" s="251"/>
      <c r="C31" s="264" t="s">
        <v>72</v>
      </c>
      <c r="D31" s="281"/>
      <c r="E31" s="52" t="s">
        <v>73</v>
      </c>
      <c r="F31" s="461">
        <v>139062.5</v>
      </c>
      <c r="G31" s="461">
        <v>0</v>
      </c>
      <c r="H31" s="450">
        <f>Budget!F32</f>
        <v>0</v>
      </c>
      <c r="I31" s="450">
        <f>Budget!G32</f>
        <v>0</v>
      </c>
      <c r="J31" s="531">
        <f t="shared" si="3"/>
        <v>-1</v>
      </c>
      <c r="K31" s="531" t="e">
        <f t="shared" si="3"/>
        <v>#DIV/0!</v>
      </c>
      <c r="L31" s="450"/>
      <c r="M31" s="481">
        <f t="shared" si="1"/>
        <v>0</v>
      </c>
      <c r="N31" s="3" t="s">
        <v>413</v>
      </c>
    </row>
    <row r="32" spans="1:14" s="3" customFormat="1" ht="16.5" customHeight="1">
      <c r="A32" s="251"/>
      <c r="C32" s="264" t="s">
        <v>75</v>
      </c>
      <c r="D32" s="281"/>
      <c r="E32" s="52" t="s">
        <v>76</v>
      </c>
      <c r="F32" s="461">
        <v>827832</v>
      </c>
      <c r="G32" s="461">
        <v>0</v>
      </c>
      <c r="H32" s="450">
        <f>Budget!F33</f>
        <v>911100</v>
      </c>
      <c r="I32" s="450">
        <f>Budget!G33</f>
        <v>0</v>
      </c>
      <c r="J32" s="531">
        <f t="shared" si="3"/>
        <v>0.1005856260690575</v>
      </c>
      <c r="K32" s="531" t="e">
        <f t="shared" si="3"/>
        <v>#DIV/0!</v>
      </c>
      <c r="L32" s="450"/>
      <c r="M32" s="481">
        <f t="shared" si="1"/>
        <v>0.194171450760239</v>
      </c>
      <c r="N32" s="3" t="s">
        <v>413</v>
      </c>
    </row>
    <row r="33" spans="1:14" s="3" customFormat="1" ht="16.5" customHeight="1">
      <c r="A33" s="251"/>
      <c r="C33" s="264" t="s">
        <v>78</v>
      </c>
      <c r="D33" s="281"/>
      <c r="E33" s="52" t="s">
        <v>79</v>
      </c>
      <c r="F33" s="461">
        <v>300000</v>
      </c>
      <c r="G33" s="461">
        <v>0</v>
      </c>
      <c r="H33" s="450">
        <f>Budget!F34</f>
        <v>300000</v>
      </c>
      <c r="I33" s="450">
        <f>Budget!G34</f>
        <v>0</v>
      </c>
      <c r="J33" s="531">
        <f t="shared" si="3"/>
        <v>0</v>
      </c>
      <c r="K33" s="531" t="e">
        <f t="shared" si="3"/>
        <v>#DIV/0!</v>
      </c>
      <c r="L33" s="450"/>
      <c r="M33" s="481">
        <f t="shared" si="1"/>
        <v>0.06393528177814917</v>
      </c>
      <c r="N33" s="3" t="s">
        <v>413</v>
      </c>
    </row>
    <row r="34" spans="1:14" s="3" customFormat="1" ht="16.5" customHeight="1" thickBot="1">
      <c r="A34" s="251"/>
      <c r="C34" s="264" t="s">
        <v>81</v>
      </c>
      <c r="D34" s="281"/>
      <c r="E34" s="265" t="s">
        <v>82</v>
      </c>
      <c r="F34" s="462">
        <v>0</v>
      </c>
      <c r="G34" s="462">
        <v>0</v>
      </c>
      <c r="H34" s="450">
        <f>Budget!F35</f>
        <v>0</v>
      </c>
      <c r="I34" s="450">
        <f>Budget!G35</f>
        <v>0</v>
      </c>
      <c r="J34" s="531" t="e">
        <f>(H34-F34)/H34</f>
        <v>#DIV/0!</v>
      </c>
      <c r="K34" s="531" t="e">
        <f>(I34-G34)/I34</f>
        <v>#DIV/0!</v>
      </c>
      <c r="L34" s="450"/>
      <c r="M34" s="481">
        <f t="shared" si="1"/>
        <v>0</v>
      </c>
      <c r="N34" s="3" t="s">
        <v>413</v>
      </c>
    </row>
    <row r="35" spans="1:13" s="3" customFormat="1" ht="16.5" customHeight="1" thickBot="1" thickTop="1">
      <c r="A35" s="266"/>
      <c r="B35" s="267"/>
      <c r="C35" s="268"/>
      <c r="D35" s="282" t="s">
        <v>84</v>
      </c>
      <c r="E35" s="270"/>
      <c r="F35" s="271">
        <f>SUM(F27:F34)</f>
        <v>1976117.05</v>
      </c>
      <c r="G35" s="271">
        <f>SUM(G27:G34)</f>
        <v>264897.675</v>
      </c>
      <c r="H35" s="271">
        <f>SUM(H27:H34)</f>
        <v>2211695.2022900763</v>
      </c>
      <c r="I35" s="271">
        <f>SUM(I27:I34)</f>
        <v>235876.05</v>
      </c>
      <c r="J35" s="536">
        <f>(H35-F35)/F35</f>
        <v>0.11921265103708115</v>
      </c>
      <c r="K35" s="536">
        <f>(I35-G35)/G35</f>
        <v>-0.10955786984540351</v>
      </c>
      <c r="L35" s="271"/>
      <c r="M35" s="482">
        <f t="shared" si="1"/>
        <v>0.47135118655265545</v>
      </c>
    </row>
    <row r="36" spans="1:13" s="3" customFormat="1" ht="24.75" customHeight="1">
      <c r="A36" s="251"/>
      <c r="B36" s="280" t="s">
        <v>86</v>
      </c>
      <c r="C36" s="264"/>
      <c r="D36" s="281"/>
      <c r="E36" s="262"/>
      <c r="F36" s="279"/>
      <c r="G36" s="279"/>
      <c r="H36" s="450">
        <f>Budget!F37</f>
        <v>0</v>
      </c>
      <c r="I36" s="450">
        <f>Budget!G37</f>
        <v>0</v>
      </c>
      <c r="J36" s="535"/>
      <c r="K36" s="535"/>
      <c r="L36" s="286"/>
      <c r="M36" s="480"/>
    </row>
    <row r="37" spans="1:14" s="3" customFormat="1" ht="16.5" customHeight="1">
      <c r="A37" s="251"/>
      <c r="B37" s="264"/>
      <c r="C37" s="264" t="s">
        <v>87</v>
      </c>
      <c r="D37" s="281"/>
      <c r="E37" s="52" t="s">
        <v>88</v>
      </c>
      <c r="F37" s="461">
        <v>100000</v>
      </c>
      <c r="G37" s="461">
        <v>250000</v>
      </c>
      <c r="H37" s="450">
        <f>Budget!F38</f>
        <v>50000</v>
      </c>
      <c r="I37" s="450">
        <f>Budget!G38</f>
        <v>250000</v>
      </c>
      <c r="J37" s="531">
        <f aca="true" t="shared" si="4" ref="J37:K44">(H37-F37)/F37</f>
        <v>-0.5</v>
      </c>
      <c r="K37" s="531">
        <f t="shared" si="4"/>
        <v>0</v>
      </c>
      <c r="L37" s="450"/>
      <c r="M37" s="481">
        <f t="shared" si="1"/>
        <v>0.010655880296358194</v>
      </c>
      <c r="N37" s="3" t="s">
        <v>414</v>
      </c>
    </row>
    <row r="38" spans="1:14" s="3" customFormat="1" ht="16.5" customHeight="1">
      <c r="A38" s="251"/>
      <c r="B38" s="264"/>
      <c r="C38" s="264" t="s">
        <v>90</v>
      </c>
      <c r="D38" s="281"/>
      <c r="E38" s="52" t="s">
        <v>91</v>
      </c>
      <c r="F38" s="461">
        <f>'[1]Sched D-NonInstructional'!G33</f>
        <v>0</v>
      </c>
      <c r="G38" s="461">
        <f>'[1]Sched D-NonInstructional'!H33</f>
        <v>0</v>
      </c>
      <c r="H38" s="450">
        <f>Budget!F39</f>
        <v>0</v>
      </c>
      <c r="I38" s="450">
        <f>Budget!G39</f>
        <v>0</v>
      </c>
      <c r="J38" s="531" t="e">
        <f t="shared" si="4"/>
        <v>#DIV/0!</v>
      </c>
      <c r="K38" s="531" t="e">
        <f t="shared" si="4"/>
        <v>#DIV/0!</v>
      </c>
      <c r="L38" s="450"/>
      <c r="M38" s="481">
        <f t="shared" si="1"/>
        <v>0</v>
      </c>
      <c r="N38" s="3" t="s">
        <v>414</v>
      </c>
    </row>
    <row r="39" spans="1:14" s="3" customFormat="1" ht="16.5" customHeight="1" thickBot="1">
      <c r="A39" s="251"/>
      <c r="B39" s="264"/>
      <c r="C39" s="264" t="s">
        <v>93</v>
      </c>
      <c r="D39" s="281"/>
      <c r="E39" s="265" t="s">
        <v>94</v>
      </c>
      <c r="F39" s="462">
        <f>'[1]Sched D-NonInstructional'!G48</f>
        <v>0</v>
      </c>
      <c r="G39" s="462">
        <f>'[1]Sched D-NonInstructional'!H48</f>
        <v>0</v>
      </c>
      <c r="H39" s="450">
        <f>Budget!F40</f>
        <v>0</v>
      </c>
      <c r="I39" s="450">
        <f>Budget!G40</f>
        <v>0</v>
      </c>
      <c r="J39" s="537" t="e">
        <f t="shared" si="4"/>
        <v>#DIV/0!</v>
      </c>
      <c r="K39" s="537" t="e">
        <f t="shared" si="4"/>
        <v>#DIV/0!</v>
      </c>
      <c r="L39" s="463"/>
      <c r="M39" s="481">
        <f t="shared" si="1"/>
        <v>0</v>
      </c>
      <c r="N39" s="3" t="s">
        <v>414</v>
      </c>
    </row>
    <row r="40" spans="1:13" s="3" customFormat="1" ht="16.5" customHeight="1" thickBot="1" thickTop="1">
      <c r="A40" s="266"/>
      <c r="B40" s="268"/>
      <c r="C40" s="268"/>
      <c r="D40" s="282" t="s">
        <v>96</v>
      </c>
      <c r="E40" s="270"/>
      <c r="F40" s="271">
        <f>SUM(F37:F39)</f>
        <v>100000</v>
      </c>
      <c r="G40" s="271">
        <f>SUM(G37:G39)</f>
        <v>250000</v>
      </c>
      <c r="H40" s="271">
        <f>SUM(H37:H39)</f>
        <v>50000</v>
      </c>
      <c r="I40" s="271">
        <f>SUM(I37:I39)</f>
        <v>250000</v>
      </c>
      <c r="J40" s="536">
        <f t="shared" si="4"/>
        <v>-0.5</v>
      </c>
      <c r="K40" s="536">
        <f t="shared" si="4"/>
        <v>0</v>
      </c>
      <c r="L40" s="271"/>
      <c r="M40" s="482">
        <f t="shared" si="1"/>
        <v>0.010655880296358194</v>
      </c>
    </row>
    <row r="41" spans="1:13" s="3" customFormat="1" ht="30" customHeight="1">
      <c r="A41" s="251"/>
      <c r="B41" s="264" t="s">
        <v>98</v>
      </c>
      <c r="D41" s="252"/>
      <c r="E41" s="52" t="s">
        <v>27</v>
      </c>
      <c r="F41" s="456">
        <v>0</v>
      </c>
      <c r="G41" s="456">
        <v>0</v>
      </c>
      <c r="H41" s="450">
        <f>Budget!F42</f>
        <v>0</v>
      </c>
      <c r="I41" s="450">
        <f>Budget!G42</f>
        <v>0</v>
      </c>
      <c r="J41" s="531" t="e">
        <f t="shared" si="4"/>
        <v>#DIV/0!</v>
      </c>
      <c r="K41" s="531" t="e">
        <f t="shared" si="4"/>
        <v>#DIV/0!</v>
      </c>
      <c r="L41" s="450"/>
      <c r="M41" s="481">
        <f t="shared" si="1"/>
        <v>0</v>
      </c>
    </row>
    <row r="42" spans="1:13" s="3" customFormat="1" ht="30" customHeight="1">
      <c r="A42" s="251"/>
      <c r="B42" s="264" t="s">
        <v>100</v>
      </c>
      <c r="D42" s="252"/>
      <c r="E42" s="52" t="s">
        <v>101</v>
      </c>
      <c r="F42" s="456">
        <v>0</v>
      </c>
      <c r="G42" s="456">
        <v>0</v>
      </c>
      <c r="H42" s="450">
        <f>Budget!F43</f>
        <v>0</v>
      </c>
      <c r="I42" s="450">
        <f>Budget!G43</f>
        <v>0</v>
      </c>
      <c r="J42" s="531" t="e">
        <f t="shared" si="4"/>
        <v>#DIV/0!</v>
      </c>
      <c r="K42" s="531" t="e">
        <f t="shared" si="4"/>
        <v>#DIV/0!</v>
      </c>
      <c r="L42" s="450"/>
      <c r="M42" s="481">
        <f t="shared" si="1"/>
        <v>0</v>
      </c>
    </row>
    <row r="43" spans="1:13" s="3" customFormat="1" ht="19.5" customHeight="1" thickBot="1">
      <c r="A43" s="251"/>
      <c r="D43" s="252"/>
      <c r="E43" s="262"/>
      <c r="F43" s="279"/>
      <c r="G43" s="279"/>
      <c r="H43" s="450">
        <f>Budget!F44</f>
        <v>0</v>
      </c>
      <c r="I43" s="450">
        <f>Budget!G44</f>
        <v>0</v>
      </c>
      <c r="J43" s="535" t="e">
        <f t="shared" si="4"/>
        <v>#DIV/0!</v>
      </c>
      <c r="K43" s="535" t="e">
        <f t="shared" si="4"/>
        <v>#DIV/0!</v>
      </c>
      <c r="L43" s="286"/>
      <c r="M43" s="480"/>
    </row>
    <row r="44" spans="1:13" s="3" customFormat="1" ht="16.5" customHeight="1" thickBot="1" thickTop="1">
      <c r="A44" s="266"/>
      <c r="B44" s="267"/>
      <c r="C44" s="268" t="s">
        <v>103</v>
      </c>
      <c r="D44" s="269"/>
      <c r="E44" s="270"/>
      <c r="F44" s="271">
        <f>F25+F35+F40+F41+F42</f>
        <v>4208817.850000001</v>
      </c>
      <c r="G44" s="271">
        <f>G25+G35+G40+G41+G42</f>
        <v>990922.675</v>
      </c>
      <c r="H44" s="271">
        <f>H25+H35+H40+H41+H42</f>
        <v>4692244.902290076</v>
      </c>
      <c r="I44" s="271">
        <f>I25+I35+I40+I41+I42</f>
        <v>721016.05</v>
      </c>
      <c r="J44" s="536">
        <f t="shared" si="4"/>
        <v>0.11486053079965801</v>
      </c>
      <c r="K44" s="536">
        <f t="shared" si="4"/>
        <v>-0.27237909860121023</v>
      </c>
      <c r="L44" s="271"/>
      <c r="M44" s="482">
        <f>H44/H$47</f>
        <v>1</v>
      </c>
    </row>
    <row r="45" spans="1:13" s="3" customFormat="1" ht="30" customHeight="1">
      <c r="A45" s="251"/>
      <c r="B45" s="264" t="s">
        <v>105</v>
      </c>
      <c r="D45" s="252"/>
      <c r="E45" s="52" t="s">
        <v>106</v>
      </c>
      <c r="F45" s="456">
        <v>0</v>
      </c>
      <c r="G45" s="456">
        <v>0</v>
      </c>
      <c r="H45" s="450">
        <f>Budget!F46</f>
        <v>0</v>
      </c>
      <c r="I45" s="450">
        <f>Budget!G46</f>
        <v>0</v>
      </c>
      <c r="J45" s="531">
        <f>I45</f>
        <v>0</v>
      </c>
      <c r="K45" s="531">
        <f>J45</f>
        <v>0</v>
      </c>
      <c r="L45" s="452"/>
      <c r="M45" s="480"/>
    </row>
    <row r="46" spans="1:13" s="3" customFormat="1" ht="24.75" customHeight="1" thickBot="1">
      <c r="A46" s="251"/>
      <c r="D46" s="252"/>
      <c r="E46" s="262"/>
      <c r="F46" s="279"/>
      <c r="G46" s="279"/>
      <c r="H46" s="450">
        <f>Budget!F47</f>
        <v>0</v>
      </c>
      <c r="I46" s="450">
        <f>Budget!G47</f>
        <v>0</v>
      </c>
      <c r="J46" s="535"/>
      <c r="K46" s="535"/>
      <c r="L46" s="286"/>
      <c r="M46" s="480"/>
    </row>
    <row r="47" spans="1:13" s="3" customFormat="1" ht="16.5" customHeight="1" thickBot="1" thickTop="1">
      <c r="A47" s="273"/>
      <c r="B47" s="274" t="s">
        <v>108</v>
      </c>
      <c r="C47" s="275"/>
      <c r="D47" s="276"/>
      <c r="E47" s="277"/>
      <c r="F47" s="278">
        <f>F44+F45</f>
        <v>4208817.850000001</v>
      </c>
      <c r="G47" s="278">
        <f>G44+G45</f>
        <v>990922.675</v>
      </c>
      <c r="H47" s="278">
        <f>H44+H45</f>
        <v>4692244.902290076</v>
      </c>
      <c r="I47" s="278">
        <f>I44+I45</f>
        <v>721016.05</v>
      </c>
      <c r="J47" s="534">
        <f>(H47-F47)/F47</f>
        <v>0.11486053079965801</v>
      </c>
      <c r="K47" s="534">
        <f>(I47-G47)/G47</f>
        <v>-0.27237909860121023</v>
      </c>
      <c r="L47" s="278"/>
      <c r="M47" s="482">
        <f>H47/H$47</f>
        <v>1</v>
      </c>
    </row>
    <row r="48" ht="12" thickTop="1"/>
  </sheetData>
  <sheetProtection/>
  <mergeCells count="10">
    <mergeCell ref="O4:O6"/>
    <mergeCell ref="L4:L6"/>
    <mergeCell ref="M4:M6"/>
    <mergeCell ref="N4:N6"/>
    <mergeCell ref="F4:F6"/>
    <mergeCell ref="G4:G6"/>
    <mergeCell ref="H4:H6"/>
    <mergeCell ref="I4:I6"/>
    <mergeCell ref="J4:J6"/>
    <mergeCell ref="K4:K6"/>
  </mergeCells>
  <printOptions/>
  <pageMargins left="0.7" right="0.7" top="0.75" bottom="0.75" header="0.3" footer="0.3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"/>
  <sheetViews>
    <sheetView zoomScalePageLayoutView="0" workbookViewId="0" topLeftCell="A1">
      <pane ySplit="6" topLeftCell="A10" activePane="bottomLeft" state="frozen"/>
      <selection pane="topLeft" activeCell="A2" sqref="A2"/>
      <selection pane="bottomLeft" activeCell="C21" sqref="C21"/>
    </sheetView>
  </sheetViews>
  <sheetFormatPr defaultColWidth="6.88671875" defaultRowHeight="15"/>
  <cols>
    <col min="1" max="1" width="32.99609375" style="204" customWidth="1"/>
    <col min="2" max="2" width="8.88671875" style="200" hidden="1" customWidth="1"/>
    <col min="3" max="8" width="10.6640625" style="200" customWidth="1"/>
    <col min="9" max="9" width="1.77734375" style="200" customWidth="1"/>
    <col min="10" max="10" width="4.6640625" style="200" customWidth="1"/>
    <col min="11" max="11" width="17.3359375" style="204" customWidth="1"/>
    <col min="12" max="12" width="4.10546875" style="204" bestFit="1" customWidth="1"/>
    <col min="13" max="13" width="20.5546875" style="204" customWidth="1"/>
    <col min="14" max="14" width="9.6640625" style="204" hidden="1" customWidth="1"/>
    <col min="15" max="15" width="9.6640625" style="203" hidden="1" customWidth="1"/>
    <col min="16" max="16" width="9.6640625" style="204" bestFit="1" customWidth="1"/>
    <col min="17" max="17" width="11.88671875" style="204" customWidth="1"/>
    <col min="18" max="16384" width="6.88671875" style="204" customWidth="1"/>
  </cols>
  <sheetData>
    <row r="1" spans="1:15" s="193" customFormat="1" ht="12.75">
      <c r="A1" s="190" t="str">
        <f>Control!C6</f>
        <v>Lake Area New Tech Early College High School </v>
      </c>
      <c r="B1" s="192"/>
      <c r="C1" s="192"/>
      <c r="D1" s="192"/>
      <c r="E1" s="192"/>
      <c r="F1" s="192"/>
      <c r="G1" s="192"/>
      <c r="H1" s="192"/>
      <c r="I1" s="192"/>
      <c r="J1" s="192"/>
      <c r="K1" s="191"/>
      <c r="L1" s="191"/>
      <c r="M1" s="191"/>
      <c r="O1" s="194"/>
    </row>
    <row r="2" spans="1:16" s="193" customFormat="1" ht="12.75">
      <c r="A2" s="191" t="s">
        <v>328</v>
      </c>
      <c r="B2" s="195"/>
      <c r="C2" s="195"/>
      <c r="D2" s="195"/>
      <c r="E2" s="191"/>
      <c r="F2" s="191"/>
      <c r="G2" s="191"/>
      <c r="H2" s="191"/>
      <c r="I2" s="191"/>
      <c r="J2" s="192"/>
      <c r="K2" s="192"/>
      <c r="L2" s="192"/>
      <c r="M2" s="196"/>
      <c r="N2" s="197"/>
      <c r="O2" s="198"/>
      <c r="P2" s="194"/>
    </row>
    <row r="3" spans="2:16" s="193" customFormat="1" ht="12.75">
      <c r="B3" s="323"/>
      <c r="C3" s="323"/>
      <c r="D3" s="323"/>
      <c r="J3" s="194"/>
      <c r="K3" s="194"/>
      <c r="L3" s="194"/>
      <c r="M3" s="197"/>
      <c r="N3" s="197"/>
      <c r="O3" s="198"/>
      <c r="P3" s="194"/>
    </row>
    <row r="4" spans="1:16" s="193" customFormat="1" ht="12.75">
      <c r="A4" s="301" t="s">
        <v>360</v>
      </c>
      <c r="B4" s="323"/>
      <c r="C4" s="323"/>
      <c r="D4" s="323"/>
      <c r="J4" s="194"/>
      <c r="K4" s="194"/>
      <c r="L4" s="194"/>
      <c r="M4" s="197"/>
      <c r="N4" s="197"/>
      <c r="O4" s="198"/>
      <c r="P4" s="194"/>
    </row>
    <row r="5" spans="1:17" ht="12.75">
      <c r="A5" s="305" t="s">
        <v>363</v>
      </c>
      <c r="B5" s="199"/>
      <c r="C5" s="199"/>
      <c r="D5" s="199"/>
      <c r="E5" s="199"/>
      <c r="F5" s="199"/>
      <c r="G5" s="199"/>
      <c r="H5" s="199"/>
      <c r="I5" s="199"/>
      <c r="K5" s="200"/>
      <c r="L5" s="200"/>
      <c r="M5" s="201"/>
      <c r="N5" s="201"/>
      <c r="O5" s="202"/>
      <c r="P5" s="203"/>
      <c r="Q5" s="199"/>
    </row>
    <row r="6" spans="1:19" ht="40.5" customHeight="1">
      <c r="A6" s="205"/>
      <c r="B6" s="206" t="s">
        <v>329</v>
      </c>
      <c r="C6" s="528"/>
      <c r="D6" s="528" t="s">
        <v>441</v>
      </c>
      <c r="E6" s="529" t="s">
        <v>458</v>
      </c>
      <c r="F6" s="528" t="s">
        <v>459</v>
      </c>
      <c r="G6" s="528" t="s">
        <v>442</v>
      </c>
      <c r="H6" s="528" t="s">
        <v>443</v>
      </c>
      <c r="J6" s="207"/>
      <c r="K6" s="207"/>
      <c r="L6" s="208"/>
      <c r="M6" s="208"/>
      <c r="N6" s="208"/>
      <c r="O6" s="209"/>
      <c r="P6" s="210"/>
      <c r="Q6" s="208"/>
      <c r="R6" s="211"/>
      <c r="S6" s="208"/>
    </row>
    <row r="7" spans="1:19" ht="12.75">
      <c r="A7" s="219" t="s">
        <v>331</v>
      </c>
      <c r="B7" s="220"/>
      <c r="C7" s="220"/>
      <c r="D7" s="221"/>
      <c r="E7" s="228"/>
      <c r="F7" s="222"/>
      <c r="G7" s="222"/>
      <c r="H7" s="228"/>
      <c r="J7" s="473"/>
      <c r="K7" s="474"/>
      <c r="L7" s="223"/>
      <c r="M7" s="223"/>
      <c r="N7" s="223"/>
      <c r="O7" s="223"/>
      <c r="P7" s="224"/>
      <c r="Q7" s="208"/>
      <c r="R7" s="211"/>
      <c r="S7" s="208"/>
    </row>
    <row r="8" spans="1:19" ht="12.75">
      <c r="A8" s="225">
        <v>1</v>
      </c>
      <c r="B8" s="226"/>
      <c r="C8" s="226"/>
      <c r="D8" s="227"/>
      <c r="E8" s="228"/>
      <c r="F8" s="228"/>
      <c r="G8" s="228"/>
      <c r="H8" s="228"/>
      <c r="K8" s="200"/>
      <c r="L8" s="223"/>
      <c r="M8" s="223"/>
      <c r="N8" s="223"/>
      <c r="O8" s="223"/>
      <c r="P8" s="224"/>
      <c r="Q8" s="208"/>
      <c r="R8" s="211"/>
      <c r="S8" s="208"/>
    </row>
    <row r="9" spans="1:19" ht="12.75">
      <c r="A9" s="225">
        <v>2</v>
      </c>
      <c r="B9" s="226"/>
      <c r="C9" s="226"/>
      <c r="D9" s="227"/>
      <c r="E9" s="228"/>
      <c r="F9" s="228"/>
      <c r="G9" s="228"/>
      <c r="H9" s="228"/>
      <c r="K9" s="200"/>
      <c r="L9" s="223"/>
      <c r="M9" s="223"/>
      <c r="N9" s="223"/>
      <c r="O9" s="223"/>
      <c r="P9" s="224"/>
      <c r="Q9" s="208"/>
      <c r="R9" s="211"/>
      <c r="S9" s="208"/>
    </row>
    <row r="10" spans="1:19" ht="12.75">
      <c r="A10" s="225">
        <v>3</v>
      </c>
      <c r="B10" s="226"/>
      <c r="C10" s="226"/>
      <c r="D10" s="227"/>
      <c r="E10" s="228"/>
      <c r="F10" s="228"/>
      <c r="G10" s="228"/>
      <c r="H10" s="228"/>
      <c r="K10" s="200"/>
      <c r="L10" s="223"/>
      <c r="M10" s="223"/>
      <c r="N10" s="223"/>
      <c r="O10" s="223"/>
      <c r="P10" s="224"/>
      <c r="Q10" s="208"/>
      <c r="R10" s="211"/>
      <c r="S10" s="208"/>
    </row>
    <row r="11" spans="1:19" ht="12.75">
      <c r="A11" s="225">
        <v>4</v>
      </c>
      <c r="B11" s="226"/>
      <c r="C11" s="226"/>
      <c r="D11" s="227"/>
      <c r="E11" s="228"/>
      <c r="F11" s="228"/>
      <c r="G11" s="228"/>
      <c r="H11" s="228"/>
      <c r="K11" s="200"/>
      <c r="L11" s="223"/>
      <c r="M11" s="223"/>
      <c r="N11" s="223"/>
      <c r="O11" s="223"/>
      <c r="P11" s="224"/>
      <c r="Q11" s="208"/>
      <c r="R11" s="211"/>
      <c r="S11" s="208"/>
    </row>
    <row r="12" spans="1:19" ht="12.75">
      <c r="A12" s="225">
        <v>5</v>
      </c>
      <c r="B12" s="226"/>
      <c r="C12" s="226"/>
      <c r="D12" s="227"/>
      <c r="E12" s="228"/>
      <c r="F12" s="228"/>
      <c r="G12" s="228"/>
      <c r="H12" s="228"/>
      <c r="K12" s="200"/>
      <c r="L12" s="223"/>
      <c r="M12" s="223"/>
      <c r="N12" s="223"/>
      <c r="O12" s="223"/>
      <c r="P12" s="229"/>
      <c r="Q12" s="208"/>
      <c r="R12" s="208"/>
      <c r="S12" s="208"/>
    </row>
    <row r="13" spans="1:19" ht="12.75">
      <c r="A13" s="225">
        <v>6</v>
      </c>
      <c r="B13" s="226"/>
      <c r="C13" s="226"/>
      <c r="D13" s="227"/>
      <c r="E13" s="228"/>
      <c r="F13" s="228"/>
      <c r="G13" s="228"/>
      <c r="H13" s="228"/>
      <c r="K13" s="200"/>
      <c r="L13" s="223"/>
      <c r="M13" s="223"/>
      <c r="N13" s="223"/>
      <c r="O13" s="223"/>
      <c r="P13" s="229"/>
      <c r="Q13" s="208"/>
      <c r="R13" s="211"/>
      <c r="S13" s="208"/>
    </row>
    <row r="14" spans="1:19" ht="16.5" customHeight="1">
      <c r="A14" s="225">
        <v>7</v>
      </c>
      <c r="B14" s="226"/>
      <c r="C14" s="226"/>
      <c r="D14" s="227"/>
      <c r="E14" s="228"/>
      <c r="F14" s="228"/>
      <c r="G14" s="228"/>
      <c r="H14" s="228"/>
      <c r="K14" s="200"/>
      <c r="L14" s="223"/>
      <c r="M14" s="223"/>
      <c r="N14" s="223"/>
      <c r="O14" s="223"/>
      <c r="P14" s="224"/>
      <c r="Q14" s="208"/>
      <c r="R14" s="211"/>
      <c r="S14" s="208"/>
    </row>
    <row r="15" spans="1:19" ht="13.5" customHeight="1">
      <c r="A15" s="225">
        <v>8</v>
      </c>
      <c r="B15" s="226"/>
      <c r="C15" s="226"/>
      <c r="D15" s="227"/>
      <c r="E15" s="228"/>
      <c r="F15" s="228"/>
      <c r="G15" s="228"/>
      <c r="H15" s="228"/>
      <c r="K15" s="200"/>
      <c r="L15" s="223"/>
      <c r="M15" s="223"/>
      <c r="N15" s="223"/>
      <c r="O15" s="223"/>
      <c r="P15" s="224"/>
      <c r="Q15" s="208"/>
      <c r="R15" s="211"/>
      <c r="S15" s="208"/>
    </row>
    <row r="16" spans="1:19" ht="13.5" customHeight="1">
      <c r="A16" s="225">
        <v>9</v>
      </c>
      <c r="B16" s="230"/>
      <c r="C16" s="227">
        <v>155</v>
      </c>
      <c r="D16" s="227">
        <f>C16</f>
        <v>155</v>
      </c>
      <c r="E16" s="227">
        <v>155</v>
      </c>
      <c r="F16" s="227">
        <v>155</v>
      </c>
      <c r="G16" s="227">
        <v>155</v>
      </c>
      <c r="H16" s="227">
        <v>155</v>
      </c>
      <c r="K16" s="200"/>
      <c r="L16" s="223"/>
      <c r="M16" s="223"/>
      <c r="N16" s="223"/>
      <c r="O16" s="223"/>
      <c r="P16" s="224"/>
      <c r="Q16" s="208"/>
      <c r="R16" s="211"/>
      <c r="S16" s="208"/>
    </row>
    <row r="17" spans="1:19" ht="13.5" customHeight="1">
      <c r="A17" s="225">
        <v>10</v>
      </c>
      <c r="B17" s="230"/>
      <c r="C17" s="227">
        <f>D17</f>
        <v>175</v>
      </c>
      <c r="D17" s="227">
        <v>175</v>
      </c>
      <c r="E17" s="227">
        <v>175</v>
      </c>
      <c r="F17" s="227">
        <v>175</v>
      </c>
      <c r="G17" s="227">
        <v>175</v>
      </c>
      <c r="H17" s="227">
        <v>175</v>
      </c>
      <c r="K17" s="200"/>
      <c r="L17" s="223"/>
      <c r="M17" s="223"/>
      <c r="N17" s="223"/>
      <c r="O17" s="223"/>
      <c r="P17" s="224"/>
      <c r="Q17" s="208"/>
      <c r="R17" s="211"/>
      <c r="S17" s="208"/>
    </row>
    <row r="18" spans="1:19" ht="13.5" customHeight="1">
      <c r="A18" s="248">
        <v>11</v>
      </c>
      <c r="B18" s="245"/>
      <c r="C18" s="227">
        <v>175</v>
      </c>
      <c r="D18" s="227">
        <v>175</v>
      </c>
      <c r="E18" s="227">
        <v>175</v>
      </c>
      <c r="F18" s="227">
        <v>175</v>
      </c>
      <c r="G18" s="227">
        <v>175</v>
      </c>
      <c r="H18" s="227">
        <v>175</v>
      </c>
      <c r="K18" s="200"/>
      <c r="L18" s="208"/>
      <c r="M18" s="208"/>
      <c r="N18" s="208"/>
      <c r="O18" s="209"/>
      <c r="P18" s="208"/>
      <c r="Q18" s="208"/>
      <c r="R18" s="211"/>
      <c r="S18" s="208"/>
    </row>
    <row r="19" spans="1:19" ht="13.5" customHeight="1">
      <c r="A19" s="248">
        <v>12</v>
      </c>
      <c r="B19" s="247"/>
      <c r="C19" s="231">
        <v>150</v>
      </c>
      <c r="D19" s="231">
        <v>150</v>
      </c>
      <c r="E19" s="231">
        <v>150</v>
      </c>
      <c r="F19" s="231">
        <v>150</v>
      </c>
      <c r="G19" s="231">
        <v>150</v>
      </c>
      <c r="H19" s="231">
        <v>150</v>
      </c>
      <c r="K19" s="200"/>
      <c r="L19" s="223"/>
      <c r="M19" s="223"/>
      <c r="N19" s="223"/>
      <c r="O19" s="223"/>
      <c r="P19" s="224"/>
      <c r="Q19" s="208"/>
      <c r="R19" s="211"/>
      <c r="S19" s="208"/>
    </row>
    <row r="20" spans="1:19" ht="12.75" customHeight="1">
      <c r="A20" s="249" t="s">
        <v>330</v>
      </c>
      <c r="B20" s="212">
        <f aca="true" t="shared" si="0" ref="B20:H20">SUM(B7:B19)</f>
        <v>0</v>
      </c>
      <c r="C20" s="213">
        <v>635</v>
      </c>
      <c r="D20" s="213">
        <v>635</v>
      </c>
      <c r="E20" s="475">
        <f t="shared" si="0"/>
        <v>655</v>
      </c>
      <c r="F20" s="475">
        <f t="shared" si="0"/>
        <v>655</v>
      </c>
      <c r="G20" s="475">
        <f t="shared" si="0"/>
        <v>655</v>
      </c>
      <c r="H20" s="476">
        <f t="shared" si="0"/>
        <v>655</v>
      </c>
      <c r="K20" s="200"/>
      <c r="L20" s="214"/>
      <c r="M20" s="215"/>
      <c r="N20" s="216"/>
      <c r="O20" s="217"/>
      <c r="P20" s="218"/>
      <c r="Q20" s="208"/>
      <c r="R20" s="211"/>
      <c r="S20" s="208"/>
    </row>
    <row r="21" spans="1:19" ht="12.75">
      <c r="A21" s="236" t="s">
        <v>332</v>
      </c>
      <c r="B21" s="234"/>
      <c r="C21" s="479">
        <v>175</v>
      </c>
      <c r="D21" s="479">
        <v>175</v>
      </c>
      <c r="E21" s="485">
        <f>D21</f>
        <v>175</v>
      </c>
      <c r="F21" s="486">
        <f>E21</f>
        <v>175</v>
      </c>
      <c r="G21" s="486">
        <f>F21</f>
        <v>175</v>
      </c>
      <c r="H21" s="487">
        <f>G21</f>
        <v>175</v>
      </c>
      <c r="K21" s="233"/>
      <c r="L21" s="223"/>
      <c r="M21" s="223"/>
      <c r="N21" s="223"/>
      <c r="O21" s="223"/>
      <c r="P21" s="224"/>
      <c r="Q21" s="208"/>
      <c r="R21" s="208"/>
      <c r="S21" s="208"/>
    </row>
    <row r="22" spans="1:19" ht="12.75">
      <c r="A22" s="236" t="s">
        <v>333</v>
      </c>
      <c r="B22" s="234"/>
      <c r="C22" s="237">
        <v>0</v>
      </c>
      <c r="D22" s="237">
        <v>0</v>
      </c>
      <c r="E22" s="488">
        <v>0.02</v>
      </c>
      <c r="F22" s="477">
        <f aca="true" t="shared" si="1" ref="F22:H23">E22</f>
        <v>0.02</v>
      </c>
      <c r="G22" s="477">
        <f t="shared" si="1"/>
        <v>0.02</v>
      </c>
      <c r="H22" s="489">
        <f t="shared" si="1"/>
        <v>0.02</v>
      </c>
      <c r="K22" s="233"/>
      <c r="L22" s="223"/>
      <c r="M22" s="223"/>
      <c r="N22" s="223"/>
      <c r="O22" s="223"/>
      <c r="P22" s="224"/>
      <c r="Q22" s="208"/>
      <c r="R22" s="208"/>
      <c r="S22" s="208"/>
    </row>
    <row r="23" spans="1:19" ht="12.75">
      <c r="A23" s="236" t="s">
        <v>334</v>
      </c>
      <c r="B23" s="234"/>
      <c r="C23" s="237">
        <v>0</v>
      </c>
      <c r="D23" s="237">
        <v>0</v>
      </c>
      <c r="E23" s="488">
        <v>0.02</v>
      </c>
      <c r="F23" s="477">
        <f t="shared" si="1"/>
        <v>0.02</v>
      </c>
      <c r="G23" s="477">
        <f t="shared" si="1"/>
        <v>0.02</v>
      </c>
      <c r="H23" s="489">
        <f t="shared" si="1"/>
        <v>0.02</v>
      </c>
      <c r="K23" s="233"/>
      <c r="L23" s="223"/>
      <c r="M23" s="223"/>
      <c r="N23" s="223"/>
      <c r="O23" s="223"/>
      <c r="P23" s="224"/>
      <c r="Q23" s="208"/>
      <c r="R23" s="208"/>
      <c r="S23" s="208"/>
    </row>
    <row r="24" spans="1:19" ht="12.75">
      <c r="A24" s="238" t="s">
        <v>335</v>
      </c>
      <c r="B24" s="235">
        <v>0.0453</v>
      </c>
      <c r="C24" s="239">
        <v>0</v>
      </c>
      <c r="D24" s="239">
        <v>0</v>
      </c>
      <c r="E24" s="484">
        <v>0.01</v>
      </c>
      <c r="F24" s="478">
        <v>0.01</v>
      </c>
      <c r="G24" s="478">
        <v>0.01</v>
      </c>
      <c r="H24" s="490">
        <v>0.01</v>
      </c>
      <c r="K24" s="233"/>
      <c r="L24" s="223"/>
      <c r="M24" s="223"/>
      <c r="N24" s="223"/>
      <c r="O24" s="223"/>
      <c r="P24" s="224"/>
      <c r="Q24" s="208"/>
      <c r="R24" s="208"/>
      <c r="S24" s="208"/>
    </row>
    <row r="25" spans="1:19" ht="12.75">
      <c r="A25" s="232" t="s">
        <v>338</v>
      </c>
      <c r="B25" s="240">
        <v>5343</v>
      </c>
      <c r="C25" s="465">
        <f>2590434/655</f>
        <v>3954.86106870229</v>
      </c>
      <c r="D25" s="465">
        <f aca="true" t="shared" si="2" ref="D25:D30">C25</f>
        <v>3954.86106870229</v>
      </c>
      <c r="E25" s="434">
        <f>D25*(1+$E$24)</f>
        <v>3994.409679389313</v>
      </c>
      <c r="F25" s="466">
        <f aca="true" t="shared" si="3" ref="F25:H26">E25*(1+$E$24)</f>
        <v>4034.3537761832063</v>
      </c>
      <c r="G25" s="466">
        <f t="shared" si="3"/>
        <v>4074.6973139450383</v>
      </c>
      <c r="H25" s="467">
        <f t="shared" si="3"/>
        <v>4115.444287084489</v>
      </c>
      <c r="J25" s="241"/>
      <c r="K25" s="233"/>
      <c r="L25" s="223"/>
      <c r="M25" s="223"/>
      <c r="N25" s="223"/>
      <c r="O25" s="223"/>
      <c r="P25" s="224"/>
      <c r="Q25" s="208"/>
      <c r="R25" s="208"/>
      <c r="S25" s="208"/>
    </row>
    <row r="26" spans="1:19" ht="12.75">
      <c r="A26" s="232" t="s">
        <v>339</v>
      </c>
      <c r="B26" s="240">
        <v>5423</v>
      </c>
      <c r="C26" s="246">
        <v>3600</v>
      </c>
      <c r="D26" s="246">
        <f t="shared" si="2"/>
        <v>3600</v>
      </c>
      <c r="E26" s="434">
        <f>D26*(1+$E$24)</f>
        <v>3636</v>
      </c>
      <c r="F26" s="434">
        <f t="shared" si="3"/>
        <v>3672.36</v>
      </c>
      <c r="G26" s="434">
        <f t="shared" si="3"/>
        <v>3709.0836000000004</v>
      </c>
      <c r="H26" s="468">
        <f t="shared" si="3"/>
        <v>3746.1744360000002</v>
      </c>
      <c r="J26" s="242"/>
      <c r="K26" s="233"/>
      <c r="L26" s="223"/>
      <c r="M26" s="223"/>
      <c r="N26" s="223"/>
      <c r="O26" s="223"/>
      <c r="P26" s="224"/>
      <c r="Q26" s="208"/>
      <c r="R26" s="208"/>
      <c r="S26" s="208"/>
    </row>
    <row r="27" spans="1:11" ht="12.75">
      <c r="A27" s="232" t="s">
        <v>336</v>
      </c>
      <c r="B27" s="240">
        <v>400</v>
      </c>
      <c r="C27" s="246">
        <v>378032</v>
      </c>
      <c r="D27" s="246">
        <f t="shared" si="2"/>
        <v>378032</v>
      </c>
      <c r="E27" s="434">
        <f>D27*E20/D20</f>
        <v>389938.51968503935</v>
      </c>
      <c r="F27" s="434">
        <f>E27*F20/E20</f>
        <v>389938.51968503935</v>
      </c>
      <c r="G27" s="434">
        <f>F27*G20/F20</f>
        <v>389938.51968503935</v>
      </c>
      <c r="H27" s="468">
        <f>G27*H20/G20</f>
        <v>389938.51968503935</v>
      </c>
      <c r="I27" s="464"/>
      <c r="J27" s="243"/>
      <c r="K27" s="200"/>
    </row>
    <row r="28" spans="1:11" ht="12.75">
      <c r="A28" s="232" t="s">
        <v>342</v>
      </c>
      <c r="B28" s="240"/>
      <c r="C28" s="246"/>
      <c r="D28" s="246">
        <f t="shared" si="2"/>
        <v>0</v>
      </c>
      <c r="E28" s="434">
        <v>0</v>
      </c>
      <c r="F28" s="434">
        <v>0</v>
      </c>
      <c r="G28" s="434">
        <v>0</v>
      </c>
      <c r="H28" s="468">
        <v>0</v>
      </c>
      <c r="I28" s="464"/>
      <c r="J28" s="243"/>
      <c r="K28" s="200"/>
    </row>
    <row r="29" spans="1:18" ht="12.75">
      <c r="A29" s="232" t="s">
        <v>337</v>
      </c>
      <c r="B29" s="240">
        <v>27</v>
      </c>
      <c r="C29" s="246">
        <v>27690</v>
      </c>
      <c r="D29" s="246">
        <f t="shared" si="2"/>
        <v>27690</v>
      </c>
      <c r="E29" s="434">
        <f>D29*E20/D20</f>
        <v>28562.12598425197</v>
      </c>
      <c r="F29" s="434">
        <f>E29*F20/E20</f>
        <v>28562.125984251972</v>
      </c>
      <c r="G29" s="434">
        <f>F29*G20/F20</f>
        <v>28562.125984251972</v>
      </c>
      <c r="H29" s="468">
        <f>G29*H20/G20</f>
        <v>28562.125984251972</v>
      </c>
      <c r="I29" s="464"/>
      <c r="J29" s="243"/>
      <c r="K29" s="200"/>
      <c r="R29" s="244"/>
    </row>
    <row r="30" spans="1:18" ht="12.75">
      <c r="A30" s="232" t="s">
        <v>343</v>
      </c>
      <c r="B30" s="240"/>
      <c r="C30" s="246"/>
      <c r="D30" s="246">
        <f t="shared" si="2"/>
        <v>0</v>
      </c>
      <c r="E30" s="434">
        <v>0</v>
      </c>
      <c r="F30" s="434">
        <v>0</v>
      </c>
      <c r="G30" s="434">
        <v>0</v>
      </c>
      <c r="H30" s="468">
        <v>0</v>
      </c>
      <c r="I30" s="464"/>
      <c r="J30" s="243"/>
      <c r="K30" s="200"/>
      <c r="R30" s="244"/>
    </row>
    <row r="31" spans="1:18" ht="12.75">
      <c r="A31" s="232" t="s">
        <v>341</v>
      </c>
      <c r="B31" s="240">
        <v>75</v>
      </c>
      <c r="C31" s="246">
        <v>0</v>
      </c>
      <c r="D31" s="246">
        <f>C31</f>
        <v>0</v>
      </c>
      <c r="E31" s="434">
        <f>D31*E20/D20</f>
        <v>0</v>
      </c>
      <c r="F31" s="434">
        <f>E31*F20/E20</f>
        <v>0</v>
      </c>
      <c r="G31" s="434">
        <f>F31*G20/F20</f>
        <v>0</v>
      </c>
      <c r="H31" s="468">
        <f>G31*H20/G20</f>
        <v>0</v>
      </c>
      <c r="I31" s="464"/>
      <c r="J31" s="243"/>
      <c r="K31" s="233"/>
      <c r="R31" s="244"/>
    </row>
    <row r="32" spans="1:18" ht="12.75">
      <c r="A32" s="232" t="s">
        <v>344</v>
      </c>
      <c r="B32" s="240"/>
      <c r="C32" s="246">
        <v>0</v>
      </c>
      <c r="D32" s="246">
        <f>C32</f>
        <v>0</v>
      </c>
      <c r="E32" s="434">
        <v>0</v>
      </c>
      <c r="F32" s="434">
        <v>0</v>
      </c>
      <c r="G32" s="434">
        <v>0</v>
      </c>
      <c r="H32" s="468">
        <v>0</v>
      </c>
      <c r="I32" s="464"/>
      <c r="J32" s="243"/>
      <c r="K32" s="233"/>
      <c r="R32" s="244"/>
    </row>
    <row r="33" spans="1:18" ht="12.75">
      <c r="A33" s="232" t="s">
        <v>142</v>
      </c>
      <c r="B33" s="240">
        <v>1500</v>
      </c>
      <c r="C33" s="246">
        <v>106370</v>
      </c>
      <c r="D33" s="246">
        <f>C33</f>
        <v>106370</v>
      </c>
      <c r="E33" s="434">
        <f>D33*E20/D20</f>
        <v>109720.23622047243</v>
      </c>
      <c r="F33" s="434">
        <f>E33*F20/E20</f>
        <v>109720.23622047243</v>
      </c>
      <c r="G33" s="434">
        <f>F33*G20/F20</f>
        <v>109720.23622047243</v>
      </c>
      <c r="H33" s="468">
        <f>G33*H20/G20</f>
        <v>109720.23622047243</v>
      </c>
      <c r="I33" s="464"/>
      <c r="J33" s="243"/>
      <c r="K33" s="233"/>
      <c r="R33" s="244"/>
    </row>
    <row r="34" spans="1:18" ht="12.75">
      <c r="A34" s="232" t="s">
        <v>345</v>
      </c>
      <c r="B34" s="240"/>
      <c r="C34" s="246"/>
      <c r="D34" s="246">
        <f>C34</f>
        <v>0</v>
      </c>
      <c r="E34" s="434">
        <v>0</v>
      </c>
      <c r="F34" s="434">
        <v>0</v>
      </c>
      <c r="G34" s="434">
        <v>0</v>
      </c>
      <c r="H34" s="468">
        <v>0</v>
      </c>
      <c r="I34" s="464"/>
      <c r="J34" s="243"/>
      <c r="K34" s="233"/>
      <c r="R34" s="244"/>
    </row>
    <row r="35" spans="1:18" ht="12.75">
      <c r="A35" s="232" t="s">
        <v>346</v>
      </c>
      <c r="B35" s="240"/>
      <c r="C35" s="246">
        <v>0</v>
      </c>
      <c r="D35" s="246">
        <f>C35</f>
        <v>0</v>
      </c>
      <c r="E35" s="434">
        <v>0</v>
      </c>
      <c r="F35" s="434">
        <v>0</v>
      </c>
      <c r="G35" s="434">
        <v>0</v>
      </c>
      <c r="H35" s="468">
        <v>0</v>
      </c>
      <c r="I35" s="464"/>
      <c r="J35" s="243"/>
      <c r="K35" s="233"/>
      <c r="R35" s="244"/>
    </row>
    <row r="36" spans="1:18" ht="12.75">
      <c r="A36" s="469" t="s">
        <v>347</v>
      </c>
      <c r="B36" s="240"/>
      <c r="C36" s="246"/>
      <c r="D36" s="246"/>
      <c r="E36" s="434">
        <v>0</v>
      </c>
      <c r="F36" s="434">
        <v>0</v>
      </c>
      <c r="G36" s="434">
        <v>0</v>
      </c>
      <c r="H36" s="468">
        <v>0</v>
      </c>
      <c r="I36" s="464"/>
      <c r="J36" s="470"/>
      <c r="K36" s="233"/>
      <c r="R36" s="244"/>
    </row>
    <row r="37" spans="1:11" ht="12.75">
      <c r="A37" s="469" t="s">
        <v>340</v>
      </c>
      <c r="B37" s="471">
        <v>1.31</v>
      </c>
      <c r="C37" s="491">
        <v>250000</v>
      </c>
      <c r="D37" s="491">
        <f>C37</f>
        <v>250000</v>
      </c>
      <c r="E37" s="434">
        <f>D37*(1+$E$24)</f>
        <v>252500</v>
      </c>
      <c r="F37" s="434">
        <f>E37*(1+$E$24)</f>
        <v>255025</v>
      </c>
      <c r="G37" s="434">
        <f>F37*(1+$E$24)</f>
        <v>257575.25</v>
      </c>
      <c r="H37" s="468">
        <f>G37*(1+$E$24)</f>
        <v>260151.0025</v>
      </c>
      <c r="I37" s="464"/>
      <c r="J37" s="470"/>
      <c r="K37" s="200"/>
    </row>
    <row r="38" spans="1:18" ht="12.75">
      <c r="A38" s="469" t="s">
        <v>350</v>
      </c>
      <c r="B38" s="240"/>
      <c r="C38" s="501"/>
      <c r="D38" s="501"/>
      <c r="E38" s="434">
        <v>0</v>
      </c>
      <c r="F38" s="434">
        <v>0</v>
      </c>
      <c r="G38" s="434">
        <v>0</v>
      </c>
      <c r="H38" s="468">
        <v>0</v>
      </c>
      <c r="I38" s="464"/>
      <c r="J38" s="470"/>
      <c r="K38" s="233"/>
      <c r="R38" s="244"/>
    </row>
    <row r="39" spans="1:18" ht="12.75">
      <c r="A39" s="469" t="s">
        <v>348</v>
      </c>
      <c r="B39" s="240"/>
      <c r="C39" s="501"/>
      <c r="D39" s="501"/>
      <c r="E39" s="434">
        <v>0</v>
      </c>
      <c r="F39" s="434">
        <v>0</v>
      </c>
      <c r="G39" s="434">
        <v>0</v>
      </c>
      <c r="H39" s="468">
        <v>0</v>
      </c>
      <c r="I39" s="464"/>
      <c r="J39" s="470"/>
      <c r="K39" s="233"/>
      <c r="R39" s="244"/>
    </row>
    <row r="40" spans="1:18" ht="12.75">
      <c r="A40" s="469" t="s">
        <v>349</v>
      </c>
      <c r="B40" s="240"/>
      <c r="C40" s="501"/>
      <c r="D40" s="501"/>
      <c r="E40" s="434">
        <v>0</v>
      </c>
      <c r="F40" s="434">
        <v>0</v>
      </c>
      <c r="G40" s="434">
        <v>0</v>
      </c>
      <c r="H40" s="502">
        <v>0</v>
      </c>
      <c r="I40" s="464"/>
      <c r="J40" s="470"/>
      <c r="K40" s="233"/>
      <c r="R40" s="244"/>
    </row>
    <row r="41" spans="1:18" ht="12.75">
      <c r="A41" s="469" t="s">
        <v>404</v>
      </c>
      <c r="B41" s="240"/>
      <c r="C41" s="492">
        <v>0</v>
      </c>
      <c r="D41" s="492">
        <v>0</v>
      </c>
      <c r="E41" s="493">
        <v>0</v>
      </c>
      <c r="F41" s="493">
        <v>0</v>
      </c>
      <c r="G41" s="493">
        <v>0</v>
      </c>
      <c r="H41" s="494">
        <v>0</v>
      </c>
      <c r="I41" s="464"/>
      <c r="J41" s="470"/>
      <c r="K41" s="233"/>
      <c r="R41" s="244"/>
    </row>
    <row r="42" spans="1:11" ht="12.75">
      <c r="A42" s="472"/>
      <c r="B42" s="464"/>
      <c r="C42" s="464"/>
      <c r="D42" s="464"/>
      <c r="E42" s="464"/>
      <c r="F42" s="464"/>
      <c r="G42" s="464"/>
      <c r="H42" s="464"/>
      <c r="I42" s="464"/>
      <c r="J42" s="464"/>
      <c r="K42" s="243"/>
    </row>
  </sheetData>
  <sheetProtection/>
  <printOptions/>
  <pageMargins left="0.17" right="0.18" top="0.36" bottom="0.4" header="0.24" footer="0.24"/>
  <pageSetup fitToHeight="2" fitToWidth="1" horizontalDpi="600" verticalDpi="600" orientation="landscape" scale="78" r:id="rId1"/>
  <headerFooter alignWithMargins="0">
    <oddFooter>&amp;R&amp;P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202"/>
  <sheetViews>
    <sheetView zoomScale="85" zoomScaleNormal="85" zoomScalePageLayoutView="0" workbookViewId="0" topLeftCell="A40">
      <selection activeCell="B94" sqref="B94:B100"/>
    </sheetView>
  </sheetViews>
  <sheetFormatPr defaultColWidth="8.88671875" defaultRowHeight="12.75" customHeight="1"/>
  <cols>
    <col min="1" max="1" width="8.88671875" style="116" customWidth="1"/>
    <col min="2" max="2" width="31.21484375" style="116" customWidth="1"/>
    <col min="3" max="3" width="15.21484375" style="117" customWidth="1"/>
    <col min="4" max="4" width="16.88671875" style="116" customWidth="1"/>
    <col min="5" max="9" width="13.6640625" style="116" customWidth="1"/>
    <col min="10" max="10" width="12.88671875" style="116" customWidth="1"/>
    <col min="11" max="16384" width="8.88671875" style="116" customWidth="1"/>
  </cols>
  <sheetData>
    <row r="1" spans="1:13" ht="12.75" customHeight="1">
      <c r="A1" s="190" t="str">
        <f>Control!C6</f>
        <v>Lake Area New Tech Early College High School </v>
      </c>
      <c r="B1" s="192"/>
      <c r="C1" s="192"/>
      <c r="D1" s="192"/>
      <c r="E1" s="192"/>
      <c r="F1" s="192"/>
      <c r="G1" s="192"/>
      <c r="H1" s="192"/>
      <c r="I1" s="192"/>
      <c r="J1" s="192"/>
      <c r="K1" s="193"/>
      <c r="L1" s="193"/>
      <c r="M1" s="193"/>
    </row>
    <row r="2" spans="1:13" ht="12.75" customHeight="1">
      <c r="A2" s="191" t="s">
        <v>406</v>
      </c>
      <c r="B2" s="195"/>
      <c r="C2" s="195"/>
      <c r="D2" s="195"/>
      <c r="E2" s="191"/>
      <c r="F2" s="191"/>
      <c r="G2" s="191"/>
      <c r="H2" s="191"/>
      <c r="I2" s="191"/>
      <c r="J2" s="192"/>
      <c r="K2" s="194"/>
      <c r="L2" s="194"/>
      <c r="M2" s="197"/>
    </row>
    <row r="4" spans="1:2" ht="12.75" customHeight="1">
      <c r="A4" s="300"/>
      <c r="B4" s="301" t="s">
        <v>360</v>
      </c>
    </row>
    <row r="5" spans="2:3" ht="12.75" customHeight="1">
      <c r="B5" s="305" t="s">
        <v>361</v>
      </c>
      <c r="C5" s="116"/>
    </row>
    <row r="6" spans="4:9" ht="12.75" customHeight="1">
      <c r="D6" s="325" t="s">
        <v>167</v>
      </c>
      <c r="E6" s="497">
        <v>0.35</v>
      </c>
      <c r="F6" s="325" t="s">
        <v>162</v>
      </c>
      <c r="G6" s="325" t="s">
        <v>353</v>
      </c>
      <c r="H6" s="325" t="s">
        <v>352</v>
      </c>
      <c r="I6" s="325" t="s">
        <v>354</v>
      </c>
    </row>
    <row r="7" spans="1:11" s="324" customFormat="1" ht="18.75" customHeight="1">
      <c r="A7" s="326">
        <v>1100</v>
      </c>
      <c r="B7" s="562" t="s">
        <v>166</v>
      </c>
      <c r="C7" s="563"/>
      <c r="D7" s="563"/>
      <c r="E7" s="563"/>
      <c r="F7" s="563"/>
      <c r="G7" s="563"/>
      <c r="H7" s="563"/>
      <c r="I7" s="564"/>
      <c r="J7" s="324">
        <v>1000</v>
      </c>
      <c r="K7" s="324">
        <v>3200</v>
      </c>
    </row>
    <row r="8" spans="1:11" s="288" customFormat="1" ht="12.75" customHeight="1">
      <c r="A8" s="309"/>
      <c r="B8" s="289"/>
      <c r="C8" s="290"/>
      <c r="D8" s="289"/>
      <c r="E8" s="289"/>
      <c r="F8" s="289"/>
      <c r="G8" s="289"/>
      <c r="H8" s="289"/>
      <c r="I8" s="310"/>
      <c r="J8" s="288">
        <f>J7/24</f>
        <v>41.666666666666664</v>
      </c>
      <c r="K8" s="288">
        <f>K7/20</f>
        <v>160</v>
      </c>
    </row>
    <row r="9" spans="1:9" s="288" customFormat="1" ht="12.75" customHeight="1">
      <c r="A9" s="309" t="s">
        <v>355</v>
      </c>
      <c r="B9" s="289"/>
      <c r="C9" s="290"/>
      <c r="D9" s="289"/>
      <c r="E9" s="289"/>
      <c r="F9" s="289"/>
      <c r="G9" s="289"/>
      <c r="H9" s="289"/>
      <c r="I9" s="310"/>
    </row>
    <row r="10" spans="1:9" ht="12.75" customHeight="1">
      <c r="A10" s="311">
        <v>1100</v>
      </c>
      <c r="B10" s="545"/>
      <c r="C10" s="301" t="s">
        <v>476</v>
      </c>
      <c r="D10" s="505">
        <v>41000</v>
      </c>
      <c r="E10" s="506">
        <f>D10*E6</f>
        <v>14349.999999999998</v>
      </c>
      <c r="F10" s="506">
        <f>SUM(D10:E10)</f>
        <v>55350</v>
      </c>
      <c r="G10" s="506">
        <f>F10</f>
        <v>55350</v>
      </c>
      <c r="H10" s="506"/>
      <c r="I10" s="312"/>
    </row>
    <row r="11" spans="1:9" ht="12.75" customHeight="1">
      <c r="A11" s="311">
        <v>1100</v>
      </c>
      <c r="B11" s="545"/>
      <c r="C11" s="301" t="s">
        <v>475</v>
      </c>
      <c r="D11" s="505">
        <v>47000</v>
      </c>
      <c r="E11" s="506">
        <f>D11*E6</f>
        <v>16450</v>
      </c>
      <c r="F11" s="506">
        <f>SUM(D11:E11)</f>
        <v>63450</v>
      </c>
      <c r="G11" s="506">
        <f>F11</f>
        <v>63450</v>
      </c>
      <c r="H11" s="506"/>
      <c r="I11" s="312"/>
    </row>
    <row r="12" spans="1:11" ht="12.75" customHeight="1">
      <c r="A12" s="311">
        <v>1100</v>
      </c>
      <c r="B12" s="545"/>
      <c r="C12" s="301" t="str">
        <f>C11</f>
        <v>Core Instuction </v>
      </c>
      <c r="D12" s="505">
        <v>47000</v>
      </c>
      <c r="E12" s="506">
        <f>D12*E6</f>
        <v>16450</v>
      </c>
      <c r="F12" s="506">
        <f>SUM(D12:E12)</f>
        <v>63450</v>
      </c>
      <c r="G12" s="506">
        <f>F12</f>
        <v>63450</v>
      </c>
      <c r="H12" s="506"/>
      <c r="I12" s="312"/>
      <c r="K12" s="116" t="s">
        <v>448</v>
      </c>
    </row>
    <row r="13" spans="1:9" ht="12.75" customHeight="1">
      <c r="A13" s="311">
        <v>1100</v>
      </c>
      <c r="B13" s="545"/>
      <c r="C13" s="301" t="s">
        <v>444</v>
      </c>
      <c r="D13" s="505">
        <v>44000</v>
      </c>
      <c r="E13" s="506">
        <f>D13*E6</f>
        <v>15399.999999999998</v>
      </c>
      <c r="F13" s="506">
        <f aca="true" t="shared" si="0" ref="F13:F36">SUM(D13:E13)</f>
        <v>59400</v>
      </c>
      <c r="G13" s="506">
        <f aca="true" t="shared" si="1" ref="G13:G33">F13</f>
        <v>59400</v>
      </c>
      <c r="H13" s="506"/>
      <c r="I13" s="312"/>
    </row>
    <row r="14" spans="1:9" ht="12.75" customHeight="1">
      <c r="A14" s="311">
        <v>1100</v>
      </c>
      <c r="B14" s="545"/>
      <c r="C14" s="301" t="s">
        <v>444</v>
      </c>
      <c r="D14" s="505">
        <v>47000</v>
      </c>
      <c r="E14" s="506">
        <f>D14*E6</f>
        <v>16450</v>
      </c>
      <c r="F14" s="506">
        <f t="shared" si="0"/>
        <v>63450</v>
      </c>
      <c r="G14" s="506">
        <f t="shared" si="1"/>
        <v>63450</v>
      </c>
      <c r="H14" s="506"/>
      <c r="I14" s="312"/>
    </row>
    <row r="15" spans="1:9" ht="12.75" customHeight="1">
      <c r="A15" s="311">
        <v>1100</v>
      </c>
      <c r="B15" s="545"/>
      <c r="C15" s="301" t="s">
        <v>444</v>
      </c>
      <c r="D15" s="505">
        <v>43000</v>
      </c>
      <c r="E15" s="506">
        <f>D15*E6</f>
        <v>15049.999999999998</v>
      </c>
      <c r="F15" s="506">
        <f t="shared" si="0"/>
        <v>58050</v>
      </c>
      <c r="G15" s="506">
        <f t="shared" si="1"/>
        <v>58050</v>
      </c>
      <c r="H15" s="506"/>
      <c r="I15" s="312"/>
    </row>
    <row r="16" spans="1:9" ht="12.75" customHeight="1">
      <c r="A16" s="311">
        <v>1100</v>
      </c>
      <c r="B16" s="545"/>
      <c r="C16" s="301" t="s">
        <v>444</v>
      </c>
      <c r="D16" s="505">
        <v>43000</v>
      </c>
      <c r="E16" s="506">
        <f>D16*E6</f>
        <v>15049.999999999998</v>
      </c>
      <c r="F16" s="506">
        <f t="shared" si="0"/>
        <v>58050</v>
      </c>
      <c r="G16" s="506">
        <f t="shared" si="1"/>
        <v>58050</v>
      </c>
      <c r="H16" s="506"/>
      <c r="I16" s="312"/>
    </row>
    <row r="17" spans="1:9" ht="12.75" customHeight="1">
      <c r="A17" s="311">
        <v>1100</v>
      </c>
      <c r="B17" s="545"/>
      <c r="C17" s="301" t="s">
        <v>444</v>
      </c>
      <c r="D17" s="505">
        <v>41000</v>
      </c>
      <c r="E17" s="506">
        <f>D17*E6</f>
        <v>14349.999999999998</v>
      </c>
      <c r="F17" s="506">
        <f t="shared" si="0"/>
        <v>55350</v>
      </c>
      <c r="G17" s="506">
        <f t="shared" si="1"/>
        <v>55350</v>
      </c>
      <c r="H17" s="506"/>
      <c r="I17" s="312"/>
    </row>
    <row r="18" spans="1:9" ht="12.75" customHeight="1">
      <c r="A18" s="311">
        <v>1100</v>
      </c>
      <c r="B18" s="545"/>
      <c r="C18" s="301" t="s">
        <v>444</v>
      </c>
      <c r="D18" s="505">
        <v>42000</v>
      </c>
      <c r="E18" s="506">
        <f>D18*E6</f>
        <v>14699.999999999998</v>
      </c>
      <c r="F18" s="506">
        <f t="shared" si="0"/>
        <v>56700</v>
      </c>
      <c r="G18" s="506">
        <f t="shared" si="1"/>
        <v>56700</v>
      </c>
      <c r="H18" s="506"/>
      <c r="I18" s="312"/>
    </row>
    <row r="19" spans="1:9" ht="12.75" customHeight="1">
      <c r="A19" s="311">
        <v>1100</v>
      </c>
      <c r="B19" s="545"/>
      <c r="C19" s="301" t="s">
        <v>430</v>
      </c>
      <c r="D19" s="505">
        <v>47000</v>
      </c>
      <c r="E19" s="506">
        <f>D19*E6</f>
        <v>16450</v>
      </c>
      <c r="F19" s="506">
        <f t="shared" si="0"/>
        <v>63450</v>
      </c>
      <c r="G19" s="506">
        <f t="shared" si="1"/>
        <v>63450</v>
      </c>
      <c r="H19" s="506"/>
      <c r="I19" s="312"/>
    </row>
    <row r="20" spans="1:9" ht="12.75" customHeight="1">
      <c r="A20" s="311">
        <v>1100</v>
      </c>
      <c r="B20" s="545"/>
      <c r="C20" s="301" t="s">
        <v>431</v>
      </c>
      <c r="D20" s="505">
        <v>41000</v>
      </c>
      <c r="E20" s="506">
        <f>D20*E6</f>
        <v>14349.999999999998</v>
      </c>
      <c r="F20" s="506">
        <f t="shared" si="0"/>
        <v>55350</v>
      </c>
      <c r="G20" s="506">
        <f t="shared" si="1"/>
        <v>55350</v>
      </c>
      <c r="H20" s="506"/>
      <c r="I20" s="312"/>
    </row>
    <row r="21" spans="1:9" ht="12.75" customHeight="1">
      <c r="A21" s="311">
        <v>1100</v>
      </c>
      <c r="B21" s="545"/>
      <c r="C21" s="301" t="s">
        <v>432</v>
      </c>
      <c r="D21" s="505">
        <v>41000</v>
      </c>
      <c r="E21" s="506">
        <f>D21*E6</f>
        <v>14349.999999999998</v>
      </c>
      <c r="F21" s="506">
        <f t="shared" si="0"/>
        <v>55350</v>
      </c>
      <c r="G21" s="506">
        <f t="shared" si="1"/>
        <v>55350</v>
      </c>
      <c r="H21" s="506"/>
      <c r="I21" s="312"/>
    </row>
    <row r="22" spans="1:9" ht="12.75" customHeight="1">
      <c r="A22" s="311">
        <v>1100</v>
      </c>
      <c r="B22" s="545"/>
      <c r="C22" s="301" t="s">
        <v>433</v>
      </c>
      <c r="D22" s="505">
        <v>47000</v>
      </c>
      <c r="E22" s="506">
        <f>D22*E6</f>
        <v>16450</v>
      </c>
      <c r="F22" s="506">
        <f t="shared" si="0"/>
        <v>63450</v>
      </c>
      <c r="G22" s="506">
        <f t="shared" si="1"/>
        <v>63450</v>
      </c>
      <c r="H22" s="506"/>
      <c r="I22" s="312"/>
    </row>
    <row r="23" spans="1:9" ht="12.75" customHeight="1">
      <c r="A23" s="311">
        <v>1100</v>
      </c>
      <c r="B23" s="545"/>
      <c r="C23" s="301" t="s">
        <v>430</v>
      </c>
      <c r="D23" s="505">
        <v>41000</v>
      </c>
      <c r="E23" s="506">
        <f>D23*E6</f>
        <v>14349.999999999998</v>
      </c>
      <c r="F23" s="506">
        <f t="shared" si="0"/>
        <v>55350</v>
      </c>
      <c r="G23" s="506">
        <f t="shared" si="1"/>
        <v>55350</v>
      </c>
      <c r="H23" s="506"/>
      <c r="I23" s="312"/>
    </row>
    <row r="24" spans="1:9" ht="12.75" customHeight="1">
      <c r="A24" s="311">
        <v>1100</v>
      </c>
      <c r="B24" s="545"/>
      <c r="C24" s="301" t="s">
        <v>430</v>
      </c>
      <c r="D24" s="505">
        <v>44000</v>
      </c>
      <c r="E24" s="506">
        <f>D24*E6</f>
        <v>15399.999999999998</v>
      </c>
      <c r="F24" s="506">
        <f t="shared" si="0"/>
        <v>59400</v>
      </c>
      <c r="G24" s="506">
        <f t="shared" si="1"/>
        <v>59400</v>
      </c>
      <c r="H24" s="506"/>
      <c r="I24" s="312"/>
    </row>
    <row r="25" spans="1:9" ht="12.75" customHeight="1">
      <c r="A25" s="311">
        <v>1100</v>
      </c>
      <c r="B25" s="545"/>
      <c r="C25" s="301" t="s">
        <v>434</v>
      </c>
      <c r="D25" s="505">
        <v>41800</v>
      </c>
      <c r="E25" s="506">
        <f>D25*E6</f>
        <v>14629.999999999998</v>
      </c>
      <c r="F25" s="506">
        <f t="shared" si="0"/>
        <v>56430</v>
      </c>
      <c r="G25" s="506">
        <f t="shared" si="1"/>
        <v>56430</v>
      </c>
      <c r="H25" s="506"/>
      <c r="I25" s="312"/>
    </row>
    <row r="26" spans="1:9" ht="12.75" customHeight="1">
      <c r="A26" s="311">
        <v>1100</v>
      </c>
      <c r="B26" s="545"/>
      <c r="C26" s="301" t="s">
        <v>434</v>
      </c>
      <c r="D26" s="505">
        <v>41000</v>
      </c>
      <c r="E26" s="506">
        <f>D26*E6</f>
        <v>14349.999999999998</v>
      </c>
      <c r="F26" s="506">
        <f t="shared" si="0"/>
        <v>55350</v>
      </c>
      <c r="G26" s="506">
        <f t="shared" si="1"/>
        <v>55350</v>
      </c>
      <c r="H26" s="506"/>
      <c r="I26" s="312"/>
    </row>
    <row r="27" spans="1:9" ht="12.75" customHeight="1">
      <c r="A27" s="311">
        <v>1100</v>
      </c>
      <c r="B27" s="545"/>
      <c r="C27" s="301" t="s">
        <v>434</v>
      </c>
      <c r="D27" s="505">
        <v>46000</v>
      </c>
      <c r="E27" s="506">
        <f>D27*E6</f>
        <v>16099.999999999998</v>
      </c>
      <c r="F27" s="506">
        <f t="shared" si="0"/>
        <v>62100</v>
      </c>
      <c r="G27" s="506">
        <f t="shared" si="1"/>
        <v>62100</v>
      </c>
      <c r="H27" s="506"/>
      <c r="I27" s="312"/>
    </row>
    <row r="28" spans="1:9" ht="12.75" customHeight="1">
      <c r="A28" s="311">
        <v>1100</v>
      </c>
      <c r="B28" s="545"/>
      <c r="C28" s="301" t="s">
        <v>432</v>
      </c>
      <c r="D28" s="505">
        <v>47000</v>
      </c>
      <c r="E28" s="506">
        <f>D28*E6</f>
        <v>16450</v>
      </c>
      <c r="F28" s="506">
        <f t="shared" si="0"/>
        <v>63450</v>
      </c>
      <c r="G28" s="506">
        <f t="shared" si="1"/>
        <v>63450</v>
      </c>
      <c r="H28" s="506"/>
      <c r="I28" s="312"/>
    </row>
    <row r="29" spans="1:9" ht="12.75" customHeight="1">
      <c r="A29" s="311">
        <v>1100</v>
      </c>
      <c r="B29" s="545"/>
      <c r="C29" s="301" t="s">
        <v>432</v>
      </c>
      <c r="D29" s="505">
        <v>41000</v>
      </c>
      <c r="E29" s="506">
        <f>D29*E6</f>
        <v>14349.999999999998</v>
      </c>
      <c r="F29" s="506">
        <f t="shared" si="0"/>
        <v>55350</v>
      </c>
      <c r="G29" s="506">
        <f t="shared" si="1"/>
        <v>55350</v>
      </c>
      <c r="H29" s="506"/>
      <c r="I29" s="312"/>
    </row>
    <row r="30" spans="1:9" ht="12.75" customHeight="1">
      <c r="A30" s="311">
        <v>1100</v>
      </c>
      <c r="B30" s="545"/>
      <c r="C30" s="301" t="s">
        <v>445</v>
      </c>
      <c r="D30" s="505">
        <v>43000</v>
      </c>
      <c r="E30" s="506">
        <f>D30*E6</f>
        <v>15049.999999999998</v>
      </c>
      <c r="F30" s="506">
        <f t="shared" si="0"/>
        <v>58050</v>
      </c>
      <c r="G30" s="506">
        <f t="shared" si="1"/>
        <v>58050</v>
      </c>
      <c r="H30" s="506"/>
      <c r="I30" s="312"/>
    </row>
    <row r="31" spans="1:9" ht="12.75" customHeight="1">
      <c r="A31" s="311">
        <v>1100</v>
      </c>
      <c r="B31" s="545"/>
      <c r="C31" s="301" t="s">
        <v>430</v>
      </c>
      <c r="D31" s="505">
        <v>44000</v>
      </c>
      <c r="E31" s="506">
        <f>D31*E6</f>
        <v>15399.999999999998</v>
      </c>
      <c r="F31" s="506">
        <f t="shared" si="0"/>
        <v>59400</v>
      </c>
      <c r="G31" s="506">
        <f t="shared" si="1"/>
        <v>59400</v>
      </c>
      <c r="H31" s="506"/>
      <c r="I31" s="312"/>
    </row>
    <row r="32" spans="1:9" ht="12.75" customHeight="1">
      <c r="A32" s="311">
        <v>1100</v>
      </c>
      <c r="B32" s="545"/>
      <c r="C32" s="301" t="s">
        <v>434</v>
      </c>
      <c r="D32" s="505">
        <v>48000</v>
      </c>
      <c r="E32" s="506">
        <f>D32*E6</f>
        <v>16800</v>
      </c>
      <c r="F32" s="506">
        <f t="shared" si="0"/>
        <v>64800</v>
      </c>
      <c r="G32" s="506">
        <f t="shared" si="1"/>
        <v>64800</v>
      </c>
      <c r="H32" s="506"/>
      <c r="I32" s="312"/>
    </row>
    <row r="33" spans="1:9" ht="12.75" customHeight="1">
      <c r="A33" s="311">
        <v>1100</v>
      </c>
      <c r="B33" s="545"/>
      <c r="C33" s="301" t="s">
        <v>432</v>
      </c>
      <c r="D33" s="505">
        <v>47000</v>
      </c>
      <c r="E33" s="506">
        <f>D33*E6</f>
        <v>16450</v>
      </c>
      <c r="F33" s="506">
        <f t="shared" si="0"/>
        <v>63450</v>
      </c>
      <c r="G33" s="506">
        <f t="shared" si="1"/>
        <v>63450</v>
      </c>
      <c r="H33" s="506"/>
      <c r="I33" s="312"/>
    </row>
    <row r="34" spans="1:9" ht="12.75" customHeight="1">
      <c r="A34" s="311">
        <f>A33</f>
        <v>1100</v>
      </c>
      <c r="B34" s="545"/>
      <c r="C34" s="301" t="s">
        <v>471</v>
      </c>
      <c r="D34" s="505">
        <v>25000</v>
      </c>
      <c r="E34" s="506">
        <f>D34*0.25</f>
        <v>6250</v>
      </c>
      <c r="F34" s="506">
        <f>SUM(D34:E34)</f>
        <v>31250</v>
      </c>
      <c r="G34" s="506">
        <f>F34</f>
        <v>31250</v>
      </c>
      <c r="H34" s="506"/>
      <c r="I34" s="312" t="s">
        <v>472</v>
      </c>
    </row>
    <row r="35" spans="1:9" ht="12.75" customHeight="1">
      <c r="A35" s="311"/>
      <c r="B35" s="545"/>
      <c r="C35" s="301" t="s">
        <v>484</v>
      </c>
      <c r="D35" s="505">
        <v>125000</v>
      </c>
      <c r="E35" s="506">
        <f>D35*0.25</f>
        <v>31250</v>
      </c>
      <c r="F35" s="506">
        <f>SUM(D35:E35)</f>
        <v>156250</v>
      </c>
      <c r="G35" s="506">
        <f>F35</f>
        <v>156250</v>
      </c>
      <c r="H35" s="506"/>
      <c r="I35" s="312" t="str">
        <f>I34</f>
        <v>Benefits budgeted at 25% </v>
      </c>
    </row>
    <row r="36" spans="1:9" ht="12.75" customHeight="1">
      <c r="A36" s="311">
        <v>1100</v>
      </c>
      <c r="B36" s="504" t="s">
        <v>178</v>
      </c>
      <c r="C36" s="301" t="s">
        <v>447</v>
      </c>
      <c r="D36" s="505">
        <f>24*3000</f>
        <v>72000</v>
      </c>
      <c r="E36" s="506">
        <f>D36*0.25</f>
        <v>18000</v>
      </c>
      <c r="F36" s="506">
        <f t="shared" si="0"/>
        <v>90000</v>
      </c>
      <c r="G36" s="506"/>
      <c r="H36" s="506">
        <f>F36</f>
        <v>90000</v>
      </c>
      <c r="I36" s="312" t="s">
        <v>449</v>
      </c>
    </row>
    <row r="37" spans="1:9" ht="12.75" customHeight="1">
      <c r="A37" s="313" t="s">
        <v>362</v>
      </c>
      <c r="B37" s="294"/>
      <c r="C37" s="294"/>
      <c r="D37" s="507">
        <f>SUM(D10:D36)</f>
        <v>1276800</v>
      </c>
      <c r="E37" s="507">
        <f>SUM(E10:E36)</f>
        <v>424680</v>
      </c>
      <c r="F37" s="507">
        <f>SUM(F10:F36)</f>
        <v>1701480</v>
      </c>
      <c r="G37" s="507">
        <f>SUM(G10:G36)</f>
        <v>1611480</v>
      </c>
      <c r="H37" s="507">
        <f>SUM(H10:H36)</f>
        <v>90000</v>
      </c>
      <c r="I37" s="296"/>
    </row>
    <row r="38" spans="1:8" ht="12.75" customHeight="1">
      <c r="A38" s="311"/>
      <c r="B38" s="117"/>
      <c r="D38" s="291"/>
      <c r="E38" s="122"/>
      <c r="F38" s="122"/>
      <c r="G38" s="291"/>
      <c r="H38" s="122"/>
    </row>
    <row r="39" spans="1:9" ht="12.75" customHeight="1">
      <c r="A39" s="316" t="s">
        <v>356</v>
      </c>
      <c r="B39" s="117"/>
      <c r="D39" s="325"/>
      <c r="E39" s="289"/>
      <c r="F39" s="325"/>
      <c r="G39" s="325"/>
      <c r="H39" s="325"/>
      <c r="I39" s="325"/>
    </row>
    <row r="40" spans="1:9" ht="12.75" customHeight="1">
      <c r="A40" s="311">
        <v>1100</v>
      </c>
      <c r="B40" s="545"/>
      <c r="C40" s="301" t="s">
        <v>435</v>
      </c>
      <c r="D40" s="505">
        <v>25500</v>
      </c>
      <c r="E40" s="506">
        <v>9100</v>
      </c>
      <c r="F40" s="506">
        <f>SUM(D40:E40)</f>
        <v>34600</v>
      </c>
      <c r="G40" s="506">
        <f>F40</f>
        <v>34600</v>
      </c>
      <c r="H40" s="506"/>
      <c r="I40" s="312" t="s">
        <v>449</v>
      </c>
    </row>
    <row r="41" spans="1:9" s="544" customFormat="1" ht="12.75" customHeight="1">
      <c r="A41" s="539"/>
      <c r="B41" s="545"/>
      <c r="C41" s="540" t="s">
        <v>435</v>
      </c>
      <c r="D41" s="541">
        <v>25000</v>
      </c>
      <c r="E41" s="542">
        <f>D41*0.35</f>
        <v>8750</v>
      </c>
      <c r="F41" s="542">
        <f>SUM(D41:E41)</f>
        <v>33750</v>
      </c>
      <c r="G41" s="542">
        <f>F41</f>
        <v>33750</v>
      </c>
      <c r="H41" s="542"/>
      <c r="I41" s="543"/>
    </row>
    <row r="42" spans="1:9" ht="12.75" customHeight="1">
      <c r="A42" s="311"/>
      <c r="B42" s="545"/>
      <c r="C42" s="301" t="s">
        <v>446</v>
      </c>
      <c r="D42" s="505"/>
      <c r="E42" s="506"/>
      <c r="F42" s="506">
        <v>15000</v>
      </c>
      <c r="G42" s="506">
        <f>F42</f>
        <v>15000</v>
      </c>
      <c r="H42" s="506"/>
      <c r="I42" s="312"/>
    </row>
    <row r="43" spans="1:9" ht="12.75" customHeight="1">
      <c r="A43" s="311"/>
      <c r="B43" s="518"/>
      <c r="C43" s="509"/>
      <c r="D43" s="510"/>
      <c r="E43" s="511"/>
      <c r="F43" s="511"/>
      <c r="G43" s="512"/>
      <c r="H43" s="519"/>
      <c r="I43" s="513"/>
    </row>
    <row r="44" spans="1:8" ht="12.75" customHeight="1">
      <c r="A44" s="313" t="s">
        <v>362</v>
      </c>
      <c r="B44" s="117"/>
      <c r="D44" s="292">
        <f>SUM(D40:D43)</f>
        <v>50500</v>
      </c>
      <c r="E44" s="292">
        <f>SUM(E40:E43)</f>
        <v>17850</v>
      </c>
      <c r="F44" s="292">
        <f>SUM(F40:F43)</f>
        <v>83350</v>
      </c>
      <c r="G44" s="292">
        <f>SUM(G40:G43)</f>
        <v>83350</v>
      </c>
      <c r="H44" s="292">
        <f>SUM(H40:H43)</f>
        <v>0</v>
      </c>
    </row>
    <row r="45" spans="1:8" ht="12.75" customHeight="1">
      <c r="A45" s="316"/>
      <c r="B45" s="117"/>
      <c r="D45" s="292"/>
      <c r="E45" s="292"/>
      <c r="F45" s="292"/>
      <c r="G45" s="292"/>
      <c r="H45" s="292"/>
    </row>
    <row r="46" spans="1:9" ht="12.75" customHeight="1">
      <c r="A46" s="316" t="s">
        <v>358</v>
      </c>
      <c r="B46" s="117"/>
      <c r="D46" s="325"/>
      <c r="E46" s="289"/>
      <c r="F46" s="325"/>
      <c r="G46" s="325"/>
      <c r="H46" s="325"/>
      <c r="I46" s="325"/>
    </row>
    <row r="47" spans="1:9" ht="25.5" customHeight="1">
      <c r="A47" s="311"/>
      <c r="B47" s="305" t="s">
        <v>297</v>
      </c>
      <c r="C47" s="305" t="s">
        <v>366</v>
      </c>
      <c r="D47" s="306"/>
      <c r="E47" s="307"/>
      <c r="F47" s="307">
        <v>50000</v>
      </c>
      <c r="G47" s="307">
        <v>15000</v>
      </c>
      <c r="H47" s="307">
        <v>27690</v>
      </c>
      <c r="I47" s="317" t="s">
        <v>450</v>
      </c>
    </row>
    <row r="48" spans="1:9" ht="25.5" customHeight="1">
      <c r="A48" s="311"/>
      <c r="B48" s="305" t="s">
        <v>470</v>
      </c>
      <c r="C48" s="305"/>
      <c r="D48" s="306"/>
      <c r="E48" s="307"/>
      <c r="F48" s="307">
        <v>50000</v>
      </c>
      <c r="G48" s="307">
        <f>F48</f>
        <v>50000</v>
      </c>
      <c r="H48" s="307"/>
      <c r="I48" s="317" t="str">
        <f>I47</f>
        <v>Title II, Part A </v>
      </c>
    </row>
    <row r="49" spans="1:9" ht="28.5" customHeight="1">
      <c r="A49" s="311"/>
      <c r="B49" s="305" t="s">
        <v>187</v>
      </c>
      <c r="C49" s="305" t="s">
        <v>366</v>
      </c>
      <c r="D49" s="306"/>
      <c r="E49" s="307"/>
      <c r="F49" s="307">
        <v>75000</v>
      </c>
      <c r="G49" s="306">
        <f>F49</f>
        <v>75000</v>
      </c>
      <c r="H49" s="307">
        <v>0</v>
      </c>
      <c r="I49" s="317"/>
    </row>
    <row r="50" spans="1:9" ht="28.5" customHeight="1">
      <c r="A50" s="311"/>
      <c r="B50" s="305" t="s">
        <v>486</v>
      </c>
      <c r="C50" s="305"/>
      <c r="D50" s="306"/>
      <c r="E50" s="307"/>
      <c r="F50" s="307">
        <v>25000</v>
      </c>
      <c r="G50" s="306">
        <v>25000</v>
      </c>
      <c r="H50" s="307"/>
      <c r="I50" s="317"/>
    </row>
    <row r="51" spans="1:9" ht="30.75" customHeight="1">
      <c r="A51" s="311"/>
      <c r="B51" s="305" t="s">
        <v>480</v>
      </c>
      <c r="C51" s="305" t="s">
        <v>366</v>
      </c>
      <c r="D51" s="306"/>
      <c r="E51" s="307"/>
      <c r="F51" s="307">
        <v>60000</v>
      </c>
      <c r="G51" s="307">
        <f>F51</f>
        <v>60000</v>
      </c>
      <c r="H51" s="307"/>
      <c r="I51" s="317"/>
    </row>
    <row r="52" spans="1:9" ht="12.75" customHeight="1">
      <c r="A52" s="313" t="s">
        <v>357</v>
      </c>
      <c r="B52" s="294"/>
      <c r="C52" s="294"/>
      <c r="D52" s="295">
        <f>SUM(D47:D51)</f>
        <v>0</v>
      </c>
      <c r="E52" s="295">
        <f>SUM(E47:E51)</f>
        <v>0</v>
      </c>
      <c r="F52" s="295">
        <f>SUM(F47:F51)</f>
        <v>260000</v>
      </c>
      <c r="G52" s="295">
        <f>SUM(G47:G51)</f>
        <v>225000</v>
      </c>
      <c r="H52" s="295">
        <f>SUM(H47:H51)</f>
        <v>27690</v>
      </c>
      <c r="I52" s="314"/>
    </row>
    <row r="53" spans="1:9" ht="12.75" customHeight="1">
      <c r="A53" s="311"/>
      <c r="B53" s="117"/>
      <c r="D53" s="291"/>
      <c r="E53" s="122"/>
      <c r="F53" s="122"/>
      <c r="H53" s="122"/>
      <c r="I53" s="315"/>
    </row>
    <row r="54" spans="1:10" s="332" customFormat="1" ht="12.75" customHeight="1">
      <c r="A54" s="334">
        <v>1100</v>
      </c>
      <c r="B54" s="335" t="s">
        <v>162</v>
      </c>
      <c r="C54" s="336"/>
      <c r="D54" s="337">
        <f aca="true" t="shared" si="2" ref="D54:I54">D52+D44+D37</f>
        <v>1327300</v>
      </c>
      <c r="E54" s="337">
        <f t="shared" si="2"/>
        <v>442530</v>
      </c>
      <c r="F54" s="337">
        <f t="shared" si="2"/>
        <v>2044830</v>
      </c>
      <c r="G54" s="337">
        <f t="shared" si="2"/>
        <v>1919830</v>
      </c>
      <c r="H54" s="337">
        <f t="shared" si="2"/>
        <v>117690</v>
      </c>
      <c r="I54" s="338">
        <f t="shared" si="2"/>
        <v>0</v>
      </c>
      <c r="J54" s="331">
        <f>SUM(G54:H54)</f>
        <v>2037520</v>
      </c>
    </row>
    <row r="57" spans="1:9" s="327" customFormat="1" ht="18.75">
      <c r="A57" s="339">
        <v>1200</v>
      </c>
      <c r="B57" s="573" t="s">
        <v>181</v>
      </c>
      <c r="C57" s="573"/>
      <c r="D57" s="573"/>
      <c r="E57" s="573"/>
      <c r="F57" s="573"/>
      <c r="G57" s="573"/>
      <c r="H57" s="573"/>
      <c r="I57" s="574"/>
    </row>
    <row r="58" spans="1:9" s="300" customFormat="1" ht="12.75">
      <c r="A58" s="309"/>
      <c r="B58" s="289"/>
      <c r="C58" s="290"/>
      <c r="D58" s="289"/>
      <c r="E58" s="289"/>
      <c r="F58" s="289"/>
      <c r="G58" s="289"/>
      <c r="H58" s="289"/>
      <c r="I58" s="310"/>
    </row>
    <row r="59" spans="1:9" s="299" customFormat="1" ht="12" customHeight="1">
      <c r="A59" s="309" t="s">
        <v>355</v>
      </c>
      <c r="B59" s="289"/>
      <c r="C59" s="290"/>
      <c r="D59" s="325" t="s">
        <v>167</v>
      </c>
      <c r="E59" s="497">
        <f>E6</f>
        <v>0.35</v>
      </c>
      <c r="F59" s="325" t="s">
        <v>162</v>
      </c>
      <c r="G59" s="325" t="s">
        <v>353</v>
      </c>
      <c r="H59" s="325" t="s">
        <v>352</v>
      </c>
      <c r="I59" s="359" t="s">
        <v>354</v>
      </c>
    </row>
    <row r="60" spans="1:9" s="88" customFormat="1" ht="12" customHeight="1">
      <c r="A60" s="311"/>
      <c r="B60" s="546"/>
      <c r="C60" s="514" t="s">
        <v>452</v>
      </c>
      <c r="D60" s="515">
        <v>51000</v>
      </c>
      <c r="E60" s="516">
        <v>14977.9</v>
      </c>
      <c r="F60" s="516">
        <v>57771.9</v>
      </c>
      <c r="G60" s="516">
        <f>F60</f>
        <v>57771.9</v>
      </c>
      <c r="H60" s="516"/>
      <c r="I60" s="517"/>
    </row>
    <row r="61" spans="1:9" s="88" customFormat="1" ht="12" customHeight="1">
      <c r="A61" s="311"/>
      <c r="B61" s="547"/>
      <c r="C61" s="301" t="s">
        <v>452</v>
      </c>
      <c r="D61" s="302">
        <v>41000</v>
      </c>
      <c r="E61" s="303">
        <v>18211.899999999998</v>
      </c>
      <c r="F61" s="303">
        <v>70245.9</v>
      </c>
      <c r="G61" s="303">
        <f>F61</f>
        <v>70245.9</v>
      </c>
      <c r="H61" s="505"/>
      <c r="I61" s="312"/>
    </row>
    <row r="62" spans="1:9" s="88" customFormat="1" ht="12" customHeight="1">
      <c r="A62" s="311"/>
      <c r="B62" s="547"/>
      <c r="C62" s="301" t="s">
        <v>452</v>
      </c>
      <c r="D62" s="302">
        <v>44000</v>
      </c>
      <c r="E62" s="303">
        <v>15049.999999999998</v>
      </c>
      <c r="F62" s="303">
        <v>58050</v>
      </c>
      <c r="G62" s="303"/>
      <c r="H62" s="505">
        <f>F62</f>
        <v>58050</v>
      </c>
      <c r="I62" s="312" t="s">
        <v>453</v>
      </c>
    </row>
    <row r="63" spans="1:9" s="88" customFormat="1" ht="12" customHeight="1">
      <c r="A63" s="311"/>
      <c r="B63" s="547"/>
      <c r="C63" s="301" t="s">
        <v>479</v>
      </c>
      <c r="D63" s="302">
        <v>23000</v>
      </c>
      <c r="E63" s="303">
        <f>D63*E59</f>
        <v>8049.999999999999</v>
      </c>
      <c r="F63" s="303">
        <f>SUM(D63:E63)</f>
        <v>31050</v>
      </c>
      <c r="G63" s="303"/>
      <c r="H63" s="505">
        <f>F63</f>
        <v>31050</v>
      </c>
      <c r="I63" s="312" t="s">
        <v>453</v>
      </c>
    </row>
    <row r="64" spans="1:9" s="88" customFormat="1" ht="12" customHeight="1">
      <c r="A64" s="311"/>
      <c r="B64" s="547"/>
      <c r="C64" s="301" t="s">
        <v>447</v>
      </c>
      <c r="D64" s="302">
        <v>6000</v>
      </c>
      <c r="E64" s="303">
        <v>2100</v>
      </c>
      <c r="F64" s="303">
        <f>SUM(D64:E64)</f>
        <v>8100</v>
      </c>
      <c r="G64" s="303"/>
      <c r="H64" s="505">
        <f>F64</f>
        <v>8100</v>
      </c>
      <c r="I64" s="312" t="s">
        <v>454</v>
      </c>
    </row>
    <row r="65" spans="1:9" s="88" customFormat="1" ht="12" customHeight="1">
      <c r="A65" s="311"/>
      <c r="B65" s="518"/>
      <c r="C65" s="509"/>
      <c r="D65" s="510"/>
      <c r="E65" s="511"/>
      <c r="F65" s="511"/>
      <c r="G65" s="512"/>
      <c r="H65" s="519"/>
      <c r="I65" s="513"/>
    </row>
    <row r="66" spans="1:9" s="88" customFormat="1" ht="12" customHeight="1">
      <c r="A66" s="313" t="s">
        <v>362</v>
      </c>
      <c r="B66" s="294"/>
      <c r="C66" s="294"/>
      <c r="D66" s="295">
        <f aca="true" t="shared" si="3" ref="D66:I66">SUM(D60:D65)</f>
        <v>165000</v>
      </c>
      <c r="E66" s="295">
        <f t="shared" si="3"/>
        <v>58389.799999999996</v>
      </c>
      <c r="F66" s="295">
        <f t="shared" si="3"/>
        <v>225217.8</v>
      </c>
      <c r="G66" s="295">
        <f t="shared" si="3"/>
        <v>128017.79999999999</v>
      </c>
      <c r="H66" s="295">
        <f t="shared" si="3"/>
        <v>97200</v>
      </c>
      <c r="I66" s="319">
        <f t="shared" si="3"/>
        <v>0</v>
      </c>
    </row>
    <row r="67" spans="1:9" s="88" customFormat="1" ht="12" customHeight="1">
      <c r="A67" s="318"/>
      <c r="B67" s="117"/>
      <c r="C67" s="117"/>
      <c r="D67" s="291"/>
      <c r="E67" s="122"/>
      <c r="F67" s="122"/>
      <c r="G67" s="116"/>
      <c r="H67" s="116"/>
      <c r="I67" s="320"/>
    </row>
    <row r="68" spans="1:9" s="88" customFormat="1" ht="12" customHeight="1">
      <c r="A68" s="321" t="s">
        <v>359</v>
      </c>
      <c r="B68" s="117"/>
      <c r="C68" s="117"/>
      <c r="D68" s="291"/>
      <c r="E68" s="122"/>
      <c r="F68" s="122"/>
      <c r="G68" s="116"/>
      <c r="H68" s="116"/>
      <c r="I68" s="320"/>
    </row>
    <row r="69" spans="1:9" s="88" customFormat="1" ht="12" customHeight="1">
      <c r="A69" s="318">
        <v>10</v>
      </c>
      <c r="B69" s="301" t="s">
        <v>184</v>
      </c>
      <c r="C69" s="301" t="s">
        <v>451</v>
      </c>
      <c r="D69" s="302"/>
      <c r="E69" s="303"/>
      <c r="F69" s="303">
        <v>20000</v>
      </c>
      <c r="G69" s="302">
        <f>F69</f>
        <v>20000</v>
      </c>
      <c r="H69" s="304"/>
      <c r="I69" s="322"/>
    </row>
    <row r="70" spans="1:9" s="88" customFormat="1" ht="12" customHeight="1">
      <c r="A70" s="318">
        <v>10</v>
      </c>
      <c r="B70" s="301" t="s">
        <v>185</v>
      </c>
      <c r="C70" s="301" t="s">
        <v>451</v>
      </c>
      <c r="D70" s="302"/>
      <c r="E70" s="303"/>
      <c r="F70" s="303">
        <v>20000</v>
      </c>
      <c r="G70" s="302">
        <f>F70</f>
        <v>20000</v>
      </c>
      <c r="H70" s="304"/>
      <c r="I70" s="322"/>
    </row>
    <row r="71" spans="1:9" s="88" customFormat="1" ht="12" customHeight="1">
      <c r="A71" s="313" t="s">
        <v>362</v>
      </c>
      <c r="B71" s="294"/>
      <c r="C71" s="294"/>
      <c r="D71" s="295">
        <f aca="true" t="shared" si="4" ref="D71:I71">SUM(D69:D70)</f>
        <v>0</v>
      </c>
      <c r="E71" s="295">
        <f t="shared" si="4"/>
        <v>0</v>
      </c>
      <c r="F71" s="295">
        <f t="shared" si="4"/>
        <v>40000</v>
      </c>
      <c r="G71" s="295">
        <f t="shared" si="4"/>
        <v>40000</v>
      </c>
      <c r="H71" s="295">
        <f t="shared" si="4"/>
        <v>0</v>
      </c>
      <c r="I71" s="319">
        <f t="shared" si="4"/>
        <v>0</v>
      </c>
    </row>
    <row r="72" spans="1:9" s="88" customFormat="1" ht="12" customHeight="1">
      <c r="A72" s="318"/>
      <c r="B72" s="117"/>
      <c r="C72" s="117"/>
      <c r="D72" s="291"/>
      <c r="E72" s="122"/>
      <c r="F72" s="122"/>
      <c r="G72" s="116"/>
      <c r="H72" s="116"/>
      <c r="I72" s="320"/>
    </row>
    <row r="73" spans="1:10" s="333" customFormat="1" ht="15.75" customHeight="1">
      <c r="A73" s="340">
        <v>1200</v>
      </c>
      <c r="B73" s="341" t="s">
        <v>162</v>
      </c>
      <c r="C73" s="342"/>
      <c r="D73" s="343">
        <f aca="true" t="shared" si="5" ref="D73:I73">D71+D66</f>
        <v>165000</v>
      </c>
      <c r="E73" s="343">
        <f t="shared" si="5"/>
        <v>58389.799999999996</v>
      </c>
      <c r="F73" s="343">
        <f t="shared" si="5"/>
        <v>265217.8</v>
      </c>
      <c r="G73" s="343">
        <f t="shared" si="5"/>
        <v>168017.8</v>
      </c>
      <c r="H73" s="343">
        <f t="shared" si="5"/>
        <v>97200</v>
      </c>
      <c r="I73" s="344">
        <f t="shared" si="5"/>
        <v>0</v>
      </c>
      <c r="J73" s="331">
        <f>SUM(G73:H73)</f>
        <v>265217.8</v>
      </c>
    </row>
    <row r="74" spans="1:9" s="88" customFormat="1" ht="12" customHeight="1">
      <c r="A74" s="116"/>
      <c r="B74" s="116"/>
      <c r="C74" s="117"/>
      <c r="D74" s="116"/>
      <c r="E74" s="116"/>
      <c r="F74" s="116"/>
      <c r="G74" s="116"/>
      <c r="H74" s="122"/>
      <c r="I74" s="291"/>
    </row>
    <row r="75" spans="1:9" s="88" customFormat="1" ht="12" customHeight="1">
      <c r="A75" s="116"/>
      <c r="B75" s="116"/>
      <c r="C75" s="117"/>
      <c r="D75" s="116"/>
      <c r="E75" s="116"/>
      <c r="F75" s="116"/>
      <c r="G75" s="116"/>
      <c r="H75" s="122"/>
      <c r="I75" s="291"/>
    </row>
    <row r="76" spans="1:9" s="327" customFormat="1" ht="19.5" customHeight="1">
      <c r="A76" s="345">
        <v>1300</v>
      </c>
      <c r="B76" s="571" t="s">
        <v>364</v>
      </c>
      <c r="C76" s="571"/>
      <c r="D76" s="571"/>
      <c r="E76" s="571"/>
      <c r="F76" s="571"/>
      <c r="G76" s="571"/>
      <c r="H76" s="571"/>
      <c r="I76" s="572"/>
    </row>
    <row r="77" spans="1:9" s="327" customFormat="1" ht="12" customHeight="1">
      <c r="A77" s="360"/>
      <c r="B77" s="329"/>
      <c r="C77" s="329"/>
      <c r="D77" s="329"/>
      <c r="E77" s="329"/>
      <c r="F77" s="329"/>
      <c r="G77" s="329"/>
      <c r="H77" s="329"/>
      <c r="I77" s="361"/>
    </row>
    <row r="78" spans="1:9" s="299" customFormat="1" ht="12" customHeight="1">
      <c r="A78" s="309" t="s">
        <v>355</v>
      </c>
      <c r="B78" s="289"/>
      <c r="C78" s="290"/>
      <c r="D78" s="325" t="s">
        <v>167</v>
      </c>
      <c r="E78" s="497">
        <f>E6</f>
        <v>0.35</v>
      </c>
      <c r="F78" s="325" t="s">
        <v>162</v>
      </c>
      <c r="G78" s="325" t="s">
        <v>353</v>
      </c>
      <c r="H78" s="325" t="s">
        <v>352</v>
      </c>
      <c r="I78" s="359" t="s">
        <v>354</v>
      </c>
    </row>
    <row r="79" spans="1:9" s="88" customFormat="1" ht="12" customHeight="1">
      <c r="A79" s="311"/>
      <c r="B79" s="301"/>
      <c r="C79" s="301"/>
      <c r="D79" s="302">
        <v>0</v>
      </c>
      <c r="E79" s="303">
        <f>D79*$E$78</f>
        <v>0</v>
      </c>
      <c r="F79" s="303">
        <f>SUM(D79:E79)</f>
        <v>0</v>
      </c>
      <c r="G79" s="303"/>
      <c r="H79" s="304"/>
      <c r="I79" s="312"/>
    </row>
    <row r="80" spans="1:9" s="88" customFormat="1" ht="12" customHeight="1">
      <c r="A80" s="311"/>
      <c r="B80" s="301"/>
      <c r="C80" s="301"/>
      <c r="D80" s="302">
        <v>0</v>
      </c>
      <c r="E80" s="303">
        <f>D80*$E$78</f>
        <v>0</v>
      </c>
      <c r="F80" s="303">
        <f>SUM(D80:E80)</f>
        <v>0</v>
      </c>
      <c r="G80" s="303"/>
      <c r="H80" s="303"/>
      <c r="I80" s="312"/>
    </row>
    <row r="81" spans="1:9" s="88" customFormat="1" ht="12" customHeight="1">
      <c r="A81" s="316" t="s">
        <v>362</v>
      </c>
      <c r="B81" s="117"/>
      <c r="C81" s="117"/>
      <c r="D81" s="292">
        <f aca="true" t="shared" si="6" ref="D81:I81">SUM(D79:D80)</f>
        <v>0</v>
      </c>
      <c r="E81" s="292">
        <f t="shared" si="6"/>
        <v>0</v>
      </c>
      <c r="F81" s="292">
        <f t="shared" si="6"/>
        <v>0</v>
      </c>
      <c r="G81" s="292">
        <f t="shared" si="6"/>
        <v>0</v>
      </c>
      <c r="H81" s="292">
        <f t="shared" si="6"/>
        <v>0</v>
      </c>
      <c r="I81" s="362">
        <f t="shared" si="6"/>
        <v>0</v>
      </c>
    </row>
    <row r="82" spans="1:9" s="88" customFormat="1" ht="12" customHeight="1">
      <c r="A82" s="318"/>
      <c r="B82" s="117"/>
      <c r="C82" s="117"/>
      <c r="D82" s="291"/>
      <c r="E82" s="122"/>
      <c r="F82" s="122"/>
      <c r="G82" s="116"/>
      <c r="H82" s="116"/>
      <c r="I82" s="320"/>
    </row>
    <row r="83" spans="1:9" s="88" customFormat="1" ht="12" customHeight="1">
      <c r="A83" s="321" t="s">
        <v>359</v>
      </c>
      <c r="B83" s="117"/>
      <c r="C83" s="117"/>
      <c r="D83" s="291"/>
      <c r="E83" s="122"/>
      <c r="F83" s="122"/>
      <c r="G83" s="116"/>
      <c r="H83" s="116"/>
      <c r="I83" s="320"/>
    </row>
    <row r="84" spans="1:9" s="88" customFormat="1" ht="12" customHeight="1">
      <c r="A84" s="318"/>
      <c r="B84" s="301"/>
      <c r="C84" s="301"/>
      <c r="D84" s="302">
        <v>0</v>
      </c>
      <c r="E84" s="303">
        <f>D84*$E$78</f>
        <v>0</v>
      </c>
      <c r="F84" s="303">
        <f>SUM(D84:E84)</f>
        <v>0</v>
      </c>
      <c r="G84" s="302"/>
      <c r="H84" s="304"/>
      <c r="I84" s="322"/>
    </row>
    <row r="85" spans="1:9" s="88" customFormat="1" ht="12" customHeight="1">
      <c r="A85" s="318"/>
      <c r="B85" s="301"/>
      <c r="C85" s="301"/>
      <c r="D85" s="302">
        <v>0</v>
      </c>
      <c r="E85" s="303">
        <f>D85*$E$78</f>
        <v>0</v>
      </c>
      <c r="F85" s="303">
        <f>SUM(D85:E85)</f>
        <v>0</v>
      </c>
      <c r="G85" s="302"/>
      <c r="H85" s="304"/>
      <c r="I85" s="322"/>
    </row>
    <row r="86" spans="1:9" s="88" customFormat="1" ht="12" customHeight="1">
      <c r="A86" s="316" t="s">
        <v>362</v>
      </c>
      <c r="B86" s="117"/>
      <c r="C86" s="117"/>
      <c r="D86" s="292">
        <f aca="true" t="shared" si="7" ref="D86:I86">SUM(D84:D85)</f>
        <v>0</v>
      </c>
      <c r="E86" s="292">
        <f t="shared" si="7"/>
        <v>0</v>
      </c>
      <c r="F86" s="292">
        <f t="shared" si="7"/>
        <v>0</v>
      </c>
      <c r="G86" s="292">
        <f t="shared" si="7"/>
        <v>0</v>
      </c>
      <c r="H86" s="292">
        <f t="shared" si="7"/>
        <v>0</v>
      </c>
      <c r="I86" s="362">
        <f t="shared" si="7"/>
        <v>0</v>
      </c>
    </row>
    <row r="87" spans="1:9" s="88" customFormat="1" ht="12" customHeight="1">
      <c r="A87" s="318"/>
      <c r="B87" s="117"/>
      <c r="C87" s="117"/>
      <c r="D87" s="291"/>
      <c r="E87" s="122"/>
      <c r="F87" s="122"/>
      <c r="G87" s="116"/>
      <c r="H87" s="116"/>
      <c r="I87" s="320"/>
    </row>
    <row r="88" spans="1:10" s="333" customFormat="1" ht="16.5" customHeight="1">
      <c r="A88" s="363">
        <v>1300</v>
      </c>
      <c r="B88" s="364" t="s">
        <v>162</v>
      </c>
      <c r="C88" s="365"/>
      <c r="D88" s="366">
        <f aca="true" t="shared" si="8" ref="D88:I88">D86+D81</f>
        <v>0</v>
      </c>
      <c r="E88" s="366">
        <f t="shared" si="8"/>
        <v>0</v>
      </c>
      <c r="F88" s="366">
        <f t="shared" si="8"/>
        <v>0</v>
      </c>
      <c r="G88" s="366">
        <f t="shared" si="8"/>
        <v>0</v>
      </c>
      <c r="H88" s="366">
        <f t="shared" si="8"/>
        <v>0</v>
      </c>
      <c r="I88" s="367">
        <f t="shared" si="8"/>
        <v>0</v>
      </c>
      <c r="J88" s="331">
        <f>SUM(G88:H88)</f>
        <v>0</v>
      </c>
    </row>
    <row r="89" spans="1:10" s="333" customFormat="1" ht="16.5" customHeight="1">
      <c r="A89" s="346"/>
      <c r="B89" s="346"/>
      <c r="C89" s="347"/>
      <c r="D89" s="348"/>
      <c r="E89" s="348"/>
      <c r="F89" s="348"/>
      <c r="G89" s="348"/>
      <c r="H89" s="348"/>
      <c r="I89" s="348"/>
      <c r="J89" s="331"/>
    </row>
    <row r="90" spans="1:9" s="88" customFormat="1" ht="12" customHeight="1">
      <c r="A90" s="297"/>
      <c r="B90" s="117"/>
      <c r="C90" s="117"/>
      <c r="D90" s="291"/>
      <c r="E90" s="122"/>
      <c r="F90" s="122"/>
      <c r="G90" s="116"/>
      <c r="H90" s="116"/>
      <c r="I90" s="122"/>
    </row>
    <row r="91" spans="1:9" s="88" customFormat="1" ht="16.5" customHeight="1">
      <c r="A91" s="349">
        <v>1400</v>
      </c>
      <c r="B91" s="565" t="s">
        <v>365</v>
      </c>
      <c r="C91" s="565"/>
      <c r="D91" s="565"/>
      <c r="E91" s="565"/>
      <c r="F91" s="565"/>
      <c r="G91" s="565"/>
      <c r="H91" s="565"/>
      <c r="I91" s="566"/>
    </row>
    <row r="92" spans="1:9" s="88" customFormat="1" ht="12" customHeight="1">
      <c r="A92" s="318"/>
      <c r="B92" s="117"/>
      <c r="C92" s="117"/>
      <c r="D92" s="291"/>
      <c r="E92" s="122"/>
      <c r="F92" s="122"/>
      <c r="G92" s="116"/>
      <c r="H92" s="116"/>
      <c r="I92" s="320"/>
    </row>
    <row r="93" spans="1:9" ht="12" customHeight="1">
      <c r="A93" s="309" t="s">
        <v>355</v>
      </c>
      <c r="B93" s="288"/>
      <c r="C93" s="298"/>
      <c r="D93" s="325" t="s">
        <v>167</v>
      </c>
      <c r="E93" s="497">
        <f>E6</f>
        <v>0.35</v>
      </c>
      <c r="F93" s="325" t="s">
        <v>162</v>
      </c>
      <c r="G93" s="325" t="s">
        <v>353</v>
      </c>
      <c r="H93" s="325" t="s">
        <v>352</v>
      </c>
      <c r="I93" s="359" t="s">
        <v>354</v>
      </c>
    </row>
    <row r="94" spans="1:9" ht="12" customHeight="1">
      <c r="A94" s="311">
        <v>10</v>
      </c>
      <c r="B94" s="548"/>
      <c r="C94" s="301" t="s">
        <v>455</v>
      </c>
      <c r="D94" s="505">
        <v>45594</v>
      </c>
      <c r="E94" s="506">
        <f>D94*E93</f>
        <v>15957.9</v>
      </c>
      <c r="F94" s="506">
        <f aca="true" t="shared" si="9" ref="F94:F100">SUM(D94:E94)</f>
        <v>61551.9</v>
      </c>
      <c r="G94" s="506">
        <f aca="true" t="shared" si="10" ref="G94:G99">F94</f>
        <v>61551.9</v>
      </c>
      <c r="H94" s="506"/>
      <c r="I94" s="520"/>
    </row>
    <row r="95" spans="1:9" ht="12" customHeight="1">
      <c r="A95" s="311">
        <v>10</v>
      </c>
      <c r="B95" s="548"/>
      <c r="C95" s="301" t="s">
        <v>455</v>
      </c>
      <c r="D95" s="505">
        <v>30000</v>
      </c>
      <c r="E95" s="506">
        <f>D95*E93</f>
        <v>10500</v>
      </c>
      <c r="F95" s="506">
        <f t="shared" si="9"/>
        <v>40500</v>
      </c>
      <c r="G95" s="506">
        <f t="shared" si="10"/>
        <v>40500</v>
      </c>
      <c r="H95" s="506"/>
      <c r="I95" s="520"/>
    </row>
    <row r="96" spans="1:9" ht="12" customHeight="1">
      <c r="A96" s="311">
        <f>A95</f>
        <v>10</v>
      </c>
      <c r="B96" s="548"/>
      <c r="C96" s="301" t="s">
        <v>455</v>
      </c>
      <c r="D96" s="505">
        <v>45000</v>
      </c>
      <c r="E96" s="506">
        <f>D96*E93</f>
        <v>15749.999999999998</v>
      </c>
      <c r="F96" s="506">
        <f>SUM(D96:E96)</f>
        <v>60750</v>
      </c>
      <c r="G96" s="506">
        <f t="shared" si="10"/>
        <v>60750</v>
      </c>
      <c r="H96" s="506"/>
      <c r="I96" s="520"/>
    </row>
    <row r="97" spans="1:9" ht="12" customHeight="1">
      <c r="A97" s="311">
        <v>10</v>
      </c>
      <c r="B97" s="548"/>
      <c r="C97" s="301" t="s">
        <v>477</v>
      </c>
      <c r="D97" s="505">
        <v>41000</v>
      </c>
      <c r="E97" s="506">
        <f>D97*E93</f>
        <v>14349.999999999998</v>
      </c>
      <c r="F97" s="506">
        <f t="shared" si="9"/>
        <v>55350</v>
      </c>
      <c r="G97" s="506">
        <f t="shared" si="10"/>
        <v>55350</v>
      </c>
      <c r="H97" s="506"/>
      <c r="I97" s="520"/>
    </row>
    <row r="98" spans="1:9" ht="12" customHeight="1">
      <c r="A98" s="311">
        <v>10</v>
      </c>
      <c r="B98" s="548"/>
      <c r="C98" s="301" t="s">
        <v>478</v>
      </c>
      <c r="D98" s="505">
        <v>42000</v>
      </c>
      <c r="E98" s="506">
        <f>D98*E93</f>
        <v>14699.999999999998</v>
      </c>
      <c r="F98" s="506">
        <f t="shared" si="9"/>
        <v>56700</v>
      </c>
      <c r="G98" s="506">
        <f t="shared" si="10"/>
        <v>56700</v>
      </c>
      <c r="H98" s="506"/>
      <c r="I98" s="520"/>
    </row>
    <row r="99" spans="1:9" ht="12" customHeight="1">
      <c r="A99" s="311">
        <v>10</v>
      </c>
      <c r="B99" s="548"/>
      <c r="C99" s="301" t="s">
        <v>456</v>
      </c>
      <c r="D99" s="505">
        <v>41000</v>
      </c>
      <c r="E99" s="506">
        <f>D99*E93</f>
        <v>14349.999999999998</v>
      </c>
      <c r="F99" s="506">
        <f t="shared" si="9"/>
        <v>55350</v>
      </c>
      <c r="G99" s="506">
        <f t="shared" si="10"/>
        <v>55350</v>
      </c>
      <c r="H99" s="506"/>
      <c r="I99" s="521"/>
    </row>
    <row r="100" spans="1:9" ht="12.75" customHeight="1">
      <c r="A100" s="311">
        <f>A99</f>
        <v>10</v>
      </c>
      <c r="B100" s="548"/>
      <c r="C100" s="301" t="s">
        <v>447</v>
      </c>
      <c r="D100" s="302">
        <v>15000</v>
      </c>
      <c r="E100" s="303">
        <v>5250</v>
      </c>
      <c r="F100" s="506">
        <f t="shared" si="9"/>
        <v>20250</v>
      </c>
      <c r="G100" s="303"/>
      <c r="H100" s="303">
        <f>F100</f>
        <v>20250</v>
      </c>
      <c r="I100" s="312" t="s">
        <v>449</v>
      </c>
    </row>
    <row r="101" spans="1:10" s="88" customFormat="1" ht="12" customHeight="1">
      <c r="A101" s="313" t="s">
        <v>362</v>
      </c>
      <c r="B101" s="294"/>
      <c r="C101" s="294"/>
      <c r="D101" s="295">
        <f>SUM(D94:D100)</f>
        <v>259594</v>
      </c>
      <c r="E101" s="295">
        <f>SUM(E94:E100)</f>
        <v>90857.9</v>
      </c>
      <c r="F101" s="295">
        <f>SUM(F94:F100)</f>
        <v>350451.9</v>
      </c>
      <c r="G101" s="295">
        <f>SUM(G94:G100)</f>
        <v>330201.9</v>
      </c>
      <c r="H101" s="295">
        <f>SUM(H94:H100)</f>
        <v>20250</v>
      </c>
      <c r="I101" s="319"/>
      <c r="J101" s="331"/>
    </row>
    <row r="102" spans="1:9" s="88" customFormat="1" ht="12" customHeight="1">
      <c r="A102" s="318"/>
      <c r="B102" s="117"/>
      <c r="C102" s="117"/>
      <c r="D102" s="291"/>
      <c r="E102" s="122"/>
      <c r="F102" s="122"/>
      <c r="G102" s="116"/>
      <c r="H102" s="116"/>
      <c r="I102" s="320"/>
    </row>
    <row r="103" spans="1:9" s="88" customFormat="1" ht="12" customHeight="1">
      <c r="A103" s="321" t="s">
        <v>359</v>
      </c>
      <c r="B103" s="117"/>
      <c r="C103" s="117"/>
      <c r="D103" s="291"/>
      <c r="E103" s="122"/>
      <c r="F103" s="122"/>
      <c r="G103" s="116"/>
      <c r="H103" s="116"/>
      <c r="I103" s="320"/>
    </row>
    <row r="104" spans="1:9" s="88" customFormat="1" ht="12" customHeight="1">
      <c r="A104" s="318"/>
      <c r="B104" s="301"/>
      <c r="C104" s="301"/>
      <c r="D104" s="302">
        <v>0</v>
      </c>
      <c r="E104" s="303">
        <f>D104*$E$93</f>
        <v>0</v>
      </c>
      <c r="F104" s="303">
        <f>SUM(D104:E104)</f>
        <v>0</v>
      </c>
      <c r="G104" s="302"/>
      <c r="H104" s="304"/>
      <c r="I104" s="322"/>
    </row>
    <row r="105" spans="1:9" s="88" customFormat="1" ht="12" customHeight="1">
      <c r="A105" s="318"/>
      <c r="B105" s="301"/>
      <c r="C105" s="301"/>
      <c r="D105" s="302">
        <v>0</v>
      </c>
      <c r="E105" s="303">
        <f>D105*$E$93</f>
        <v>0</v>
      </c>
      <c r="F105" s="303">
        <f>SUM(D105:E105)</f>
        <v>0</v>
      </c>
      <c r="G105" s="302"/>
      <c r="H105" s="304"/>
      <c r="I105" s="322"/>
    </row>
    <row r="106" spans="1:9" s="88" customFormat="1" ht="12" customHeight="1">
      <c r="A106" s="313" t="s">
        <v>362</v>
      </c>
      <c r="B106" s="294"/>
      <c r="C106" s="294"/>
      <c r="D106" s="295">
        <f aca="true" t="shared" si="11" ref="D106:I106">SUM(D104:D105)</f>
        <v>0</v>
      </c>
      <c r="E106" s="295">
        <f t="shared" si="11"/>
        <v>0</v>
      </c>
      <c r="F106" s="295">
        <f t="shared" si="11"/>
        <v>0</v>
      </c>
      <c r="G106" s="295">
        <f t="shared" si="11"/>
        <v>0</v>
      </c>
      <c r="H106" s="295">
        <f t="shared" si="11"/>
        <v>0</v>
      </c>
      <c r="I106" s="319">
        <f t="shared" si="11"/>
        <v>0</v>
      </c>
    </row>
    <row r="107" spans="1:9" s="88" customFormat="1" ht="12" customHeight="1">
      <c r="A107" s="318"/>
      <c r="B107" s="117"/>
      <c r="C107" s="117"/>
      <c r="D107" s="291"/>
      <c r="E107" s="122"/>
      <c r="F107" s="122"/>
      <c r="G107" s="116"/>
      <c r="H107" s="116"/>
      <c r="I107" s="320"/>
    </row>
    <row r="108" spans="1:10" s="333" customFormat="1" ht="16.5" customHeight="1">
      <c r="A108" s="368">
        <v>1400</v>
      </c>
      <c r="B108" s="369" t="s">
        <v>162</v>
      </c>
      <c r="C108" s="370"/>
      <c r="D108" s="371">
        <f aca="true" t="shared" si="12" ref="D108:I108">D106+D101</f>
        <v>259594</v>
      </c>
      <c r="E108" s="371">
        <f t="shared" si="12"/>
        <v>90857.9</v>
      </c>
      <c r="F108" s="371">
        <f t="shared" si="12"/>
        <v>350451.9</v>
      </c>
      <c r="G108" s="371">
        <f t="shared" si="12"/>
        <v>330201.9</v>
      </c>
      <c r="H108" s="371">
        <f t="shared" si="12"/>
        <v>20250</v>
      </c>
      <c r="I108" s="372">
        <f t="shared" si="12"/>
        <v>0</v>
      </c>
      <c r="J108" s="331">
        <f>SUM(G108:H108)</f>
        <v>350451.9</v>
      </c>
    </row>
    <row r="109" spans="1:10" s="333" customFormat="1" ht="16.5" customHeight="1">
      <c r="A109" s="346"/>
      <c r="B109" s="346"/>
      <c r="C109" s="347"/>
      <c r="D109" s="348"/>
      <c r="E109" s="348"/>
      <c r="F109" s="348"/>
      <c r="G109" s="348"/>
      <c r="H109" s="348"/>
      <c r="I109" s="348"/>
      <c r="J109" s="331"/>
    </row>
    <row r="110" spans="1:10" s="333" customFormat="1" ht="17.25" customHeight="1">
      <c r="A110" s="351">
        <v>1500</v>
      </c>
      <c r="B110" s="567" t="s">
        <v>51</v>
      </c>
      <c r="C110" s="567"/>
      <c r="D110" s="567"/>
      <c r="E110" s="567"/>
      <c r="F110" s="567"/>
      <c r="G110" s="567"/>
      <c r="H110" s="567"/>
      <c r="I110" s="568"/>
      <c r="J110" s="331"/>
    </row>
    <row r="111" spans="1:10" s="333" customFormat="1" ht="12" customHeight="1">
      <c r="A111" s="309"/>
      <c r="B111" s="289"/>
      <c r="C111" s="290"/>
      <c r="D111" s="350"/>
      <c r="E111" s="350"/>
      <c r="F111" s="350"/>
      <c r="G111" s="350"/>
      <c r="H111" s="350"/>
      <c r="I111" s="373"/>
      <c r="J111" s="331"/>
    </row>
    <row r="112" spans="1:9" ht="12" customHeight="1">
      <c r="A112" s="309" t="s">
        <v>355</v>
      </c>
      <c r="B112" s="288"/>
      <c r="C112" s="298"/>
      <c r="D112" s="325" t="s">
        <v>167</v>
      </c>
      <c r="E112" s="497">
        <f>E6</f>
        <v>0.35</v>
      </c>
      <c r="F112" s="325" t="s">
        <v>162</v>
      </c>
      <c r="G112" s="325" t="s">
        <v>353</v>
      </c>
      <c r="H112" s="325" t="s">
        <v>352</v>
      </c>
      <c r="I112" s="359" t="s">
        <v>354</v>
      </c>
    </row>
    <row r="113" spans="1:9" ht="12" customHeight="1">
      <c r="A113" s="311"/>
      <c r="B113" s="301"/>
      <c r="C113" s="301"/>
      <c r="D113" s="302">
        <v>0</v>
      </c>
      <c r="E113" s="302">
        <f>D113*$E$112</f>
        <v>0</v>
      </c>
      <c r="F113" s="302">
        <v>0</v>
      </c>
      <c r="G113" s="302">
        <v>0</v>
      </c>
      <c r="H113" s="302">
        <v>0</v>
      </c>
      <c r="I113" s="312"/>
    </row>
    <row r="114" spans="1:9" ht="12" customHeight="1">
      <c r="A114" s="311"/>
      <c r="B114" s="301"/>
      <c r="C114" s="301"/>
      <c r="D114" s="302">
        <v>0</v>
      </c>
      <c r="E114" s="302">
        <f>D114*$E$112</f>
        <v>0</v>
      </c>
      <c r="F114" s="302">
        <v>0</v>
      </c>
      <c r="G114" s="302">
        <v>0</v>
      </c>
      <c r="H114" s="302">
        <v>0</v>
      </c>
      <c r="I114" s="312"/>
    </row>
    <row r="115" spans="1:10" s="88" customFormat="1" ht="12" customHeight="1">
      <c r="A115" s="313" t="s">
        <v>362</v>
      </c>
      <c r="B115" s="294"/>
      <c r="C115" s="294"/>
      <c r="D115" s="295">
        <f aca="true" t="shared" si="13" ref="D115:I115">SUM(D113:D114)</f>
        <v>0</v>
      </c>
      <c r="E115" s="295">
        <f t="shared" si="13"/>
        <v>0</v>
      </c>
      <c r="F115" s="295">
        <f t="shared" si="13"/>
        <v>0</v>
      </c>
      <c r="G115" s="295">
        <f t="shared" si="13"/>
        <v>0</v>
      </c>
      <c r="H115" s="295">
        <f t="shared" si="13"/>
        <v>0</v>
      </c>
      <c r="I115" s="319">
        <f t="shared" si="13"/>
        <v>0</v>
      </c>
      <c r="J115" s="331"/>
    </row>
    <row r="116" spans="1:10" s="333" customFormat="1" ht="12" customHeight="1">
      <c r="A116" s="309"/>
      <c r="B116" s="289"/>
      <c r="C116" s="290"/>
      <c r="D116" s="350"/>
      <c r="E116" s="350"/>
      <c r="F116" s="350"/>
      <c r="G116" s="350"/>
      <c r="H116" s="350"/>
      <c r="I116" s="373"/>
      <c r="J116" s="331"/>
    </row>
    <row r="117" spans="1:10" s="333" customFormat="1" ht="12" customHeight="1">
      <c r="A117" s="321" t="s">
        <v>359</v>
      </c>
      <c r="B117" s="289"/>
      <c r="C117" s="290"/>
      <c r="D117" s="350"/>
      <c r="E117" s="350"/>
      <c r="F117" s="350"/>
      <c r="G117" s="350"/>
      <c r="H117" s="350"/>
      <c r="I117" s="373"/>
      <c r="J117" s="331"/>
    </row>
    <row r="118" spans="1:9" ht="12.75" customHeight="1">
      <c r="A118" s="311"/>
      <c r="B118" s="522" t="s">
        <v>457</v>
      </c>
      <c r="C118" s="514" t="s">
        <v>457</v>
      </c>
      <c r="D118" s="515">
        <v>10000</v>
      </c>
      <c r="E118" s="515">
        <f>D118*0.25</f>
        <v>2500</v>
      </c>
      <c r="F118" s="515">
        <f>SUM(D118:E118)</f>
        <v>12500</v>
      </c>
      <c r="G118" s="515">
        <f>F118</f>
        <v>12500</v>
      </c>
      <c r="H118" s="527"/>
      <c r="I118" s="517" t="s">
        <v>449</v>
      </c>
    </row>
    <row r="119" spans="1:9" ht="12.75" customHeight="1">
      <c r="A119" s="503"/>
      <c r="B119" s="523"/>
      <c r="C119" s="509"/>
      <c r="D119" s="510"/>
      <c r="E119" s="510"/>
      <c r="F119" s="510"/>
      <c r="G119" s="510"/>
      <c r="H119" s="524"/>
      <c r="I119" s="513"/>
    </row>
    <row r="120" spans="1:9" ht="12.75" customHeight="1">
      <c r="A120" s="313" t="s">
        <v>362</v>
      </c>
      <c r="B120" s="117"/>
      <c r="D120" s="292">
        <f>SUM(D118:D119)</f>
        <v>10000</v>
      </c>
      <c r="E120" s="292">
        <f>SUM(E118:E119)</f>
        <v>2500</v>
      </c>
      <c r="F120" s="292">
        <f>SUM(F118:F119)</f>
        <v>12500</v>
      </c>
      <c r="G120" s="292">
        <f>SUM(G118:G119)</f>
        <v>12500</v>
      </c>
      <c r="H120" s="292">
        <f>SUM(H118:H119)</f>
        <v>0</v>
      </c>
      <c r="I120" s="362"/>
    </row>
    <row r="121" spans="1:9" ht="12.75" customHeight="1">
      <c r="A121" s="311"/>
      <c r="I121" s="315"/>
    </row>
    <row r="122" spans="1:10" ht="12.75" customHeight="1">
      <c r="A122" s="374">
        <v>1500</v>
      </c>
      <c r="B122" s="375" t="s">
        <v>162</v>
      </c>
      <c r="C122" s="376"/>
      <c r="D122" s="377">
        <f aca="true" t="shared" si="14" ref="D122:I122">D120+D115</f>
        <v>10000</v>
      </c>
      <c r="E122" s="377">
        <f t="shared" si="14"/>
        <v>2500</v>
      </c>
      <c r="F122" s="377">
        <f t="shared" si="14"/>
        <v>12500</v>
      </c>
      <c r="G122" s="377">
        <f t="shared" si="14"/>
        <v>12500</v>
      </c>
      <c r="H122" s="377">
        <f t="shared" si="14"/>
        <v>0</v>
      </c>
      <c r="I122" s="378">
        <f t="shared" si="14"/>
        <v>0</v>
      </c>
      <c r="J122" s="331">
        <f>SUM(G122:H122)</f>
        <v>12500</v>
      </c>
    </row>
    <row r="125" spans="1:10" ht="16.5" customHeight="1">
      <c r="A125" s="353">
        <v>1600</v>
      </c>
      <c r="B125" s="569" t="s">
        <v>54</v>
      </c>
      <c r="C125" s="569"/>
      <c r="D125" s="569"/>
      <c r="E125" s="569"/>
      <c r="F125" s="569"/>
      <c r="G125" s="569"/>
      <c r="H125" s="569"/>
      <c r="I125" s="570"/>
      <c r="J125" s="331"/>
    </row>
    <row r="126" spans="1:10" ht="12.75" customHeight="1">
      <c r="A126" s="309"/>
      <c r="B126" s="289"/>
      <c r="C126" s="290"/>
      <c r="D126" s="350"/>
      <c r="E126" s="350"/>
      <c r="F126" s="350"/>
      <c r="G126" s="350"/>
      <c r="H126" s="350"/>
      <c r="I126" s="373"/>
      <c r="J126" s="331"/>
    </row>
    <row r="127" spans="1:9" ht="12.75" customHeight="1">
      <c r="A127" s="309" t="s">
        <v>355</v>
      </c>
      <c r="B127" s="288"/>
      <c r="C127" s="298"/>
      <c r="D127" s="325" t="s">
        <v>167</v>
      </c>
      <c r="E127" s="497">
        <f>E6</f>
        <v>0.35</v>
      </c>
      <c r="F127" s="325" t="s">
        <v>162</v>
      </c>
      <c r="G127" s="325" t="s">
        <v>353</v>
      </c>
      <c r="H127" s="325" t="s">
        <v>352</v>
      </c>
      <c r="I127" s="359" t="s">
        <v>354</v>
      </c>
    </row>
    <row r="128" spans="1:9" ht="12.75" customHeight="1">
      <c r="A128" s="311"/>
      <c r="B128" s="301"/>
      <c r="C128" s="301"/>
      <c r="D128" s="302">
        <v>0</v>
      </c>
      <c r="E128" s="302">
        <f>D128*$E$127</f>
        <v>0</v>
      </c>
      <c r="F128" s="302">
        <v>0</v>
      </c>
      <c r="G128" s="302">
        <v>0</v>
      </c>
      <c r="H128" s="302">
        <v>0</v>
      </c>
      <c r="I128" s="312"/>
    </row>
    <row r="129" spans="1:9" ht="12.75" customHeight="1">
      <c r="A129" s="311"/>
      <c r="B129" s="301"/>
      <c r="C129" s="301"/>
      <c r="D129" s="302">
        <v>0</v>
      </c>
      <c r="E129" s="302">
        <f>D129*$E$127</f>
        <v>0</v>
      </c>
      <c r="F129" s="302">
        <v>0</v>
      </c>
      <c r="G129" s="302">
        <v>0</v>
      </c>
      <c r="H129" s="302">
        <v>0</v>
      </c>
      <c r="I129" s="312"/>
    </row>
    <row r="130" spans="1:10" ht="12.75" customHeight="1">
      <c r="A130" s="313" t="s">
        <v>362</v>
      </c>
      <c r="B130" s="294"/>
      <c r="C130" s="294"/>
      <c r="D130" s="295">
        <f aca="true" t="shared" si="15" ref="D130:I130">SUM(D128:D129)</f>
        <v>0</v>
      </c>
      <c r="E130" s="295">
        <f t="shared" si="15"/>
        <v>0</v>
      </c>
      <c r="F130" s="295">
        <f t="shared" si="15"/>
        <v>0</v>
      </c>
      <c r="G130" s="295">
        <f t="shared" si="15"/>
        <v>0</v>
      </c>
      <c r="H130" s="295">
        <f t="shared" si="15"/>
        <v>0</v>
      </c>
      <c r="I130" s="319">
        <f t="shared" si="15"/>
        <v>0</v>
      </c>
      <c r="J130" s="331"/>
    </row>
    <row r="131" spans="1:10" ht="12.75" customHeight="1">
      <c r="A131" s="309"/>
      <c r="B131" s="289"/>
      <c r="C131" s="290"/>
      <c r="D131" s="350"/>
      <c r="E131" s="350"/>
      <c r="F131" s="350"/>
      <c r="G131" s="350"/>
      <c r="H131" s="350"/>
      <c r="I131" s="373"/>
      <c r="J131" s="331"/>
    </row>
    <row r="132" spans="1:10" ht="12.75" customHeight="1">
      <c r="A132" s="321" t="s">
        <v>359</v>
      </c>
      <c r="B132" s="289"/>
      <c r="C132" s="290"/>
      <c r="D132" s="350"/>
      <c r="E132" s="350"/>
      <c r="F132" s="350"/>
      <c r="G132" s="350"/>
      <c r="H132" s="350"/>
      <c r="I132" s="373"/>
      <c r="J132" s="331"/>
    </row>
    <row r="133" spans="1:9" ht="12.75" customHeight="1">
      <c r="A133" s="311"/>
      <c r="B133" s="304"/>
      <c r="C133" s="301"/>
      <c r="D133" s="302">
        <v>0</v>
      </c>
      <c r="E133" s="302">
        <f>D133*$E$127</f>
        <v>0</v>
      </c>
      <c r="F133" s="302">
        <v>0</v>
      </c>
      <c r="G133" s="302">
        <v>0</v>
      </c>
      <c r="H133" s="302">
        <v>0</v>
      </c>
      <c r="I133" s="312"/>
    </row>
    <row r="134" spans="1:9" ht="12.75" customHeight="1">
      <c r="A134" s="311"/>
      <c r="B134" s="304"/>
      <c r="C134" s="301"/>
      <c r="D134" s="302">
        <v>0</v>
      </c>
      <c r="E134" s="302">
        <f>D134*$E$127</f>
        <v>0</v>
      </c>
      <c r="F134" s="302">
        <v>0</v>
      </c>
      <c r="G134" s="302">
        <v>0</v>
      </c>
      <c r="H134" s="302">
        <v>0</v>
      </c>
      <c r="I134" s="312"/>
    </row>
    <row r="135" spans="1:9" ht="12.75" customHeight="1">
      <c r="A135" s="313" t="s">
        <v>362</v>
      </c>
      <c r="B135" s="294"/>
      <c r="C135" s="294"/>
      <c r="D135" s="295">
        <f aca="true" t="shared" si="16" ref="D135:I135">SUM(D133:D134)</f>
        <v>0</v>
      </c>
      <c r="E135" s="295">
        <f t="shared" si="16"/>
        <v>0</v>
      </c>
      <c r="F135" s="295">
        <f t="shared" si="16"/>
        <v>0</v>
      </c>
      <c r="G135" s="295">
        <f t="shared" si="16"/>
        <v>0</v>
      </c>
      <c r="H135" s="295">
        <f t="shared" si="16"/>
        <v>0</v>
      </c>
      <c r="I135" s="319">
        <f t="shared" si="16"/>
        <v>0</v>
      </c>
    </row>
    <row r="136" spans="1:9" ht="12.75" customHeight="1">
      <c r="A136" s="311"/>
      <c r="I136" s="315"/>
    </row>
    <row r="137" spans="1:10" ht="12.75" customHeight="1">
      <c r="A137" s="379">
        <v>1600</v>
      </c>
      <c r="B137" s="380" t="s">
        <v>162</v>
      </c>
      <c r="C137" s="381"/>
      <c r="D137" s="382">
        <f aca="true" t="shared" si="17" ref="D137:I137">D135+D130</f>
        <v>0</v>
      </c>
      <c r="E137" s="382">
        <f t="shared" si="17"/>
        <v>0</v>
      </c>
      <c r="F137" s="382">
        <f t="shared" si="17"/>
        <v>0</v>
      </c>
      <c r="G137" s="382">
        <f t="shared" si="17"/>
        <v>0</v>
      </c>
      <c r="H137" s="382">
        <f t="shared" si="17"/>
        <v>0</v>
      </c>
      <c r="I137" s="383">
        <f t="shared" si="17"/>
        <v>0</v>
      </c>
      <c r="J137" s="331">
        <f>SUM(G137:H137)</f>
        <v>0</v>
      </c>
    </row>
    <row r="140" spans="1:2" ht="15.75" customHeight="1">
      <c r="A140" s="388" t="s">
        <v>367</v>
      </c>
      <c r="B140" s="354"/>
    </row>
    <row r="141" ht="12.75" customHeight="1">
      <c r="B141" s="355"/>
    </row>
    <row r="142" spans="2:3" ht="12.75" customHeight="1">
      <c r="B142" s="384" t="s">
        <v>368</v>
      </c>
      <c r="C142" s="357"/>
    </row>
    <row r="143" spans="2:3" ht="12.75" customHeight="1">
      <c r="B143" s="311" t="s">
        <v>369</v>
      </c>
      <c r="C143" s="358">
        <v>0</v>
      </c>
    </row>
    <row r="144" spans="2:3" ht="12.75" customHeight="1">
      <c r="B144" s="311" t="s">
        <v>371</v>
      </c>
      <c r="C144" s="358">
        <v>0</v>
      </c>
    </row>
    <row r="145" spans="2:3" ht="12.75" customHeight="1">
      <c r="B145" s="311" t="s">
        <v>370</v>
      </c>
      <c r="C145" s="358">
        <v>0</v>
      </c>
    </row>
    <row r="146" spans="2:3" ht="12.75" customHeight="1">
      <c r="B146" s="421" t="s">
        <v>357</v>
      </c>
      <c r="C146" s="423">
        <f>SUM(C143:C145)</f>
        <v>0</v>
      </c>
    </row>
    <row r="149" spans="1:9" ht="12.75" customHeight="1">
      <c r="A149" s="391" t="s">
        <v>385</v>
      </c>
      <c r="B149" s="392"/>
      <c r="C149" s="393"/>
      <c r="D149" s="393"/>
      <c r="E149" s="393"/>
      <c r="F149" s="393"/>
      <c r="G149" s="394"/>
      <c r="H149" s="393"/>
      <c r="I149" s="395"/>
    </row>
    <row r="150" spans="1:9" ht="12.75" customHeight="1">
      <c r="A150" s="396"/>
      <c r="B150" s="397"/>
      <c r="C150" s="398"/>
      <c r="D150" s="398"/>
      <c r="E150" s="398"/>
      <c r="F150" s="398"/>
      <c r="G150" s="399"/>
      <c r="H150" s="398"/>
      <c r="I150" s="400"/>
    </row>
    <row r="151" spans="1:9" ht="12.75" customHeight="1">
      <c r="A151" s="401"/>
      <c r="B151" s="402" t="s">
        <v>376</v>
      </c>
      <c r="C151" s="402" t="s">
        <v>377</v>
      </c>
      <c r="D151" s="402" t="s">
        <v>378</v>
      </c>
      <c r="E151" s="402" t="s">
        <v>379</v>
      </c>
      <c r="F151" s="402" t="s">
        <v>380</v>
      </c>
      <c r="G151" s="402" t="s">
        <v>381</v>
      </c>
      <c r="H151" s="402" t="s">
        <v>382</v>
      </c>
      <c r="I151" s="403" t="s">
        <v>372</v>
      </c>
    </row>
    <row r="152" spans="1:9" ht="12.75" customHeight="1">
      <c r="A152" s="404" t="s">
        <v>373</v>
      </c>
      <c r="B152" s="302">
        <v>0</v>
      </c>
      <c r="C152" s="302">
        <v>0</v>
      </c>
      <c r="D152" s="302">
        <v>0</v>
      </c>
      <c r="E152" s="302">
        <v>0</v>
      </c>
      <c r="F152" s="302">
        <v>0</v>
      </c>
      <c r="G152" s="302">
        <v>0</v>
      </c>
      <c r="H152" s="302">
        <v>0</v>
      </c>
      <c r="I152" s="405">
        <f>SUM(B152:H152)</f>
        <v>0</v>
      </c>
    </row>
    <row r="153" spans="1:9" ht="14.25" customHeight="1">
      <c r="A153" s="404" t="s">
        <v>375</v>
      </c>
      <c r="B153" s="302">
        <v>0</v>
      </c>
      <c r="C153" s="302">
        <v>0</v>
      </c>
      <c r="D153" s="302">
        <v>0</v>
      </c>
      <c r="E153" s="302">
        <v>0</v>
      </c>
      <c r="F153" s="302">
        <v>0</v>
      </c>
      <c r="G153" s="302">
        <v>0</v>
      </c>
      <c r="H153" s="302">
        <v>0</v>
      </c>
      <c r="I153" s="405">
        <f>SUM(B153:H153)</f>
        <v>0</v>
      </c>
    </row>
    <row r="154" spans="1:9" ht="12.75" customHeight="1">
      <c r="A154" s="404" t="s">
        <v>374</v>
      </c>
      <c r="B154" s="302">
        <v>0</v>
      </c>
      <c r="C154" s="302">
        <v>0</v>
      </c>
      <c r="D154" s="302">
        <v>0</v>
      </c>
      <c r="E154" s="302">
        <v>0</v>
      </c>
      <c r="F154" s="302">
        <v>0</v>
      </c>
      <c r="G154" s="302">
        <v>0</v>
      </c>
      <c r="H154" s="302">
        <v>0</v>
      </c>
      <c r="I154" s="405">
        <f>SUM(B154:H154)</f>
        <v>0</v>
      </c>
    </row>
    <row r="155" spans="1:9" ht="12.75" customHeight="1">
      <c r="A155" s="404" t="s">
        <v>359</v>
      </c>
      <c r="B155" s="302">
        <v>0</v>
      </c>
      <c r="C155" s="302">
        <v>0</v>
      </c>
      <c r="D155" s="302">
        <v>0</v>
      </c>
      <c r="E155" s="302">
        <v>0</v>
      </c>
      <c r="F155" s="302">
        <v>0</v>
      </c>
      <c r="G155" s="302">
        <v>0</v>
      </c>
      <c r="H155" s="302"/>
      <c r="I155" s="405">
        <f>SUM(B155:H155)</f>
        <v>0</v>
      </c>
    </row>
    <row r="156" spans="1:9" ht="12.75" customHeight="1">
      <c r="A156" s="406" t="s">
        <v>357</v>
      </c>
      <c r="B156" s="495">
        <f>SUM(B152:B155)</f>
        <v>0</v>
      </c>
      <c r="C156" s="495">
        <f aca="true" t="shared" si="18" ref="C156:H156">SUM(C152:C155)</f>
        <v>0</v>
      </c>
      <c r="D156" s="495">
        <f t="shared" si="18"/>
        <v>0</v>
      </c>
      <c r="E156" s="495">
        <f t="shared" si="18"/>
        <v>0</v>
      </c>
      <c r="F156" s="495">
        <f t="shared" si="18"/>
        <v>0</v>
      </c>
      <c r="G156" s="495">
        <f t="shared" si="18"/>
        <v>0</v>
      </c>
      <c r="H156" s="495">
        <f t="shared" si="18"/>
        <v>0</v>
      </c>
      <c r="I156" s="496">
        <f>SUM(I152:I155)</f>
        <v>0</v>
      </c>
    </row>
    <row r="157" spans="1:9" ht="12.75" customHeight="1">
      <c r="A157" s="407"/>
      <c r="B157" s="300"/>
      <c r="C157" s="355"/>
      <c r="D157" s="300"/>
      <c r="E157" s="300"/>
      <c r="F157" s="300"/>
      <c r="G157" s="300"/>
      <c r="H157" s="300"/>
      <c r="I157" s="315"/>
    </row>
    <row r="158" spans="1:9" ht="12.75" customHeight="1">
      <c r="A158" s="408"/>
      <c r="B158" s="386" t="s">
        <v>405</v>
      </c>
      <c r="D158" s="117"/>
      <c r="I158" s="315"/>
    </row>
    <row r="159" spans="1:9" ht="12.75" customHeight="1">
      <c r="A159" s="311"/>
      <c r="B159" s="304" t="s">
        <v>398</v>
      </c>
      <c r="C159" s="304" t="s">
        <v>383</v>
      </c>
      <c r="D159" s="302">
        <v>0</v>
      </c>
      <c r="I159" s="315"/>
    </row>
    <row r="160" spans="1:9" ht="12.75" customHeight="1">
      <c r="A160" s="311"/>
      <c r="B160" s="304" t="s">
        <v>398</v>
      </c>
      <c r="C160" s="304" t="s">
        <v>383</v>
      </c>
      <c r="D160" s="302">
        <v>0</v>
      </c>
      <c r="I160" s="315"/>
    </row>
    <row r="161" spans="1:9" ht="12.75" customHeight="1">
      <c r="A161" s="311"/>
      <c r="B161" s="304" t="s">
        <v>398</v>
      </c>
      <c r="C161" s="304" t="s">
        <v>383</v>
      </c>
      <c r="D161" s="302">
        <v>0</v>
      </c>
      <c r="I161" s="315"/>
    </row>
    <row r="162" spans="1:9" ht="12.75" customHeight="1">
      <c r="A162" s="311"/>
      <c r="B162" s="304" t="s">
        <v>398</v>
      </c>
      <c r="C162" s="304" t="s">
        <v>383</v>
      </c>
      <c r="D162" s="302">
        <v>0</v>
      </c>
      <c r="I162" s="315"/>
    </row>
    <row r="163" spans="1:9" ht="12.75" customHeight="1">
      <c r="A163" s="311"/>
      <c r="B163" s="304" t="s">
        <v>398</v>
      </c>
      <c r="C163" s="304" t="s">
        <v>383</v>
      </c>
      <c r="D163" s="302">
        <v>0</v>
      </c>
      <c r="I163" s="315"/>
    </row>
    <row r="164" spans="1:9" ht="12.75" customHeight="1">
      <c r="A164" s="311"/>
      <c r="B164" s="304" t="s">
        <v>398</v>
      </c>
      <c r="C164" s="304" t="s">
        <v>383</v>
      </c>
      <c r="D164" s="302">
        <v>0</v>
      </c>
      <c r="I164" s="315"/>
    </row>
    <row r="165" spans="1:9" ht="12.75" customHeight="1">
      <c r="A165" s="311"/>
      <c r="B165" s="304" t="s">
        <v>398</v>
      </c>
      <c r="C165" s="304" t="s">
        <v>383</v>
      </c>
      <c r="D165" s="302">
        <v>0</v>
      </c>
      <c r="I165" s="315"/>
    </row>
    <row r="166" spans="1:9" ht="12.75" customHeight="1">
      <c r="A166" s="311"/>
      <c r="B166" s="293" t="s">
        <v>357</v>
      </c>
      <c r="C166" s="389"/>
      <c r="D166" s="387">
        <f>SUM(D159:D165)</f>
        <v>0</v>
      </c>
      <c r="I166" s="315"/>
    </row>
    <row r="167" spans="1:9" ht="12.75" customHeight="1">
      <c r="A167" s="311"/>
      <c r="I167" s="315"/>
    </row>
    <row r="168" spans="1:9" ht="12.75" customHeight="1">
      <c r="A168" s="409"/>
      <c r="B168" s="410" t="s">
        <v>384</v>
      </c>
      <c r="C168" s="422">
        <f>I156+D166</f>
        <v>0</v>
      </c>
      <c r="D168" s="411"/>
      <c r="E168" s="411"/>
      <c r="F168" s="411"/>
      <c r="G168" s="411"/>
      <c r="H168" s="411"/>
      <c r="I168" s="412"/>
    </row>
    <row r="171" spans="1:9" ht="12.75" customHeight="1">
      <c r="A171" s="390"/>
      <c r="B171" s="413" t="s">
        <v>386</v>
      </c>
      <c r="C171" s="414" t="s">
        <v>387</v>
      </c>
      <c r="D171" s="414" t="s">
        <v>387</v>
      </c>
      <c r="E171" s="414" t="s">
        <v>387</v>
      </c>
      <c r="F171" s="414" t="s">
        <v>387</v>
      </c>
      <c r="G171" s="414" t="s">
        <v>387</v>
      </c>
      <c r="H171" s="414" t="s">
        <v>387</v>
      </c>
      <c r="I171" s="415" t="s">
        <v>357</v>
      </c>
    </row>
    <row r="172" spans="2:9" ht="12.75" customHeight="1">
      <c r="B172" s="416" t="s">
        <v>391</v>
      </c>
      <c r="C172" s="302">
        <v>0</v>
      </c>
      <c r="D172" s="302">
        <v>0</v>
      </c>
      <c r="E172" s="302">
        <v>0</v>
      </c>
      <c r="F172" s="302">
        <v>0</v>
      </c>
      <c r="G172" s="302">
        <v>0</v>
      </c>
      <c r="H172" s="302">
        <v>0</v>
      </c>
      <c r="I172" s="417">
        <f aca="true" t="shared" si="19" ref="I172:I177">SUM(C172:H172)</f>
        <v>0</v>
      </c>
    </row>
    <row r="173" spans="2:9" ht="12.75" customHeight="1">
      <c r="B173" s="416" t="s">
        <v>391</v>
      </c>
      <c r="C173" s="302">
        <v>0</v>
      </c>
      <c r="D173" s="302">
        <v>0</v>
      </c>
      <c r="E173" s="302">
        <v>0</v>
      </c>
      <c r="F173" s="302">
        <v>0</v>
      </c>
      <c r="G173" s="302">
        <v>0</v>
      </c>
      <c r="H173" s="302">
        <v>0</v>
      </c>
      <c r="I173" s="417">
        <f t="shared" si="19"/>
        <v>0</v>
      </c>
    </row>
    <row r="174" spans="2:9" ht="12.75" customHeight="1">
      <c r="B174" s="416" t="s">
        <v>391</v>
      </c>
      <c r="C174" s="302">
        <v>0</v>
      </c>
      <c r="D174" s="302">
        <v>0</v>
      </c>
      <c r="E174" s="302">
        <v>0</v>
      </c>
      <c r="F174" s="302">
        <v>0</v>
      </c>
      <c r="G174" s="302">
        <v>0</v>
      </c>
      <c r="H174" s="302">
        <v>0</v>
      </c>
      <c r="I174" s="417">
        <f t="shared" si="19"/>
        <v>0</v>
      </c>
    </row>
    <row r="175" spans="2:9" ht="12.75" customHeight="1">
      <c r="B175" s="416" t="s">
        <v>391</v>
      </c>
      <c r="C175" s="302">
        <v>0</v>
      </c>
      <c r="D175" s="302">
        <v>0</v>
      </c>
      <c r="E175" s="302">
        <v>0</v>
      </c>
      <c r="F175" s="302">
        <v>0</v>
      </c>
      <c r="G175" s="302">
        <v>0</v>
      </c>
      <c r="H175" s="302">
        <v>0</v>
      </c>
      <c r="I175" s="417">
        <f t="shared" si="19"/>
        <v>0</v>
      </c>
    </row>
    <row r="176" spans="2:9" ht="12.75" customHeight="1">
      <c r="B176" s="416" t="s">
        <v>391</v>
      </c>
      <c r="C176" s="302">
        <v>0</v>
      </c>
      <c r="D176" s="302">
        <v>0</v>
      </c>
      <c r="E176" s="302">
        <v>0</v>
      </c>
      <c r="F176" s="302">
        <v>0</v>
      </c>
      <c r="G176" s="302">
        <v>0</v>
      </c>
      <c r="H176" s="302">
        <v>0</v>
      </c>
      <c r="I176" s="417">
        <f t="shared" si="19"/>
        <v>0</v>
      </c>
    </row>
    <row r="177" spans="1:9" ht="12.75" customHeight="1">
      <c r="A177" s="116">
        <v>1</v>
      </c>
      <c r="B177" s="416" t="s">
        <v>391</v>
      </c>
      <c r="C177" s="302">
        <v>0</v>
      </c>
      <c r="D177" s="302">
        <v>0</v>
      </c>
      <c r="E177" s="302">
        <v>0</v>
      </c>
      <c r="F177" s="302">
        <v>0</v>
      </c>
      <c r="G177" s="302">
        <v>0</v>
      </c>
      <c r="H177" s="302"/>
      <c r="I177" s="417">
        <f t="shared" si="19"/>
        <v>0</v>
      </c>
    </row>
    <row r="178" spans="2:9" ht="12.75" customHeight="1">
      <c r="B178" s="406" t="s">
        <v>357</v>
      </c>
      <c r="C178" s="387">
        <f aca="true" t="shared" si="20" ref="C178:I178">SUM(C172:C177)</f>
        <v>0</v>
      </c>
      <c r="D178" s="387">
        <f t="shared" si="20"/>
        <v>0</v>
      </c>
      <c r="E178" s="387">
        <f t="shared" si="20"/>
        <v>0</v>
      </c>
      <c r="F178" s="387">
        <f t="shared" si="20"/>
        <v>0</v>
      </c>
      <c r="G178" s="387">
        <f t="shared" si="20"/>
        <v>0</v>
      </c>
      <c r="H178" s="387">
        <f t="shared" si="20"/>
        <v>0</v>
      </c>
      <c r="I178" s="424">
        <f t="shared" si="20"/>
        <v>0</v>
      </c>
    </row>
    <row r="179" spans="2:9" ht="12.75" customHeight="1">
      <c r="B179" s="311"/>
      <c r="I179" s="315"/>
    </row>
    <row r="180" spans="2:9" ht="12.75" customHeight="1">
      <c r="B180" s="418" t="s">
        <v>388</v>
      </c>
      <c r="C180" s="419" t="s">
        <v>387</v>
      </c>
      <c r="D180" s="419" t="s">
        <v>387</v>
      </c>
      <c r="E180" s="419" t="s">
        <v>387</v>
      </c>
      <c r="F180" s="419" t="s">
        <v>387</v>
      </c>
      <c r="G180" s="419" t="s">
        <v>387</v>
      </c>
      <c r="H180" s="419" t="s">
        <v>387</v>
      </c>
      <c r="I180" s="420" t="s">
        <v>357</v>
      </c>
    </row>
    <row r="181" spans="2:9" ht="12.75" customHeight="1">
      <c r="B181" s="416" t="s">
        <v>389</v>
      </c>
      <c r="C181" s="302">
        <v>0</v>
      </c>
      <c r="D181" s="302">
        <v>0</v>
      </c>
      <c r="E181" s="302">
        <v>0</v>
      </c>
      <c r="F181" s="302">
        <v>0</v>
      </c>
      <c r="G181" s="302">
        <v>0</v>
      </c>
      <c r="H181" s="302">
        <v>0</v>
      </c>
      <c r="I181" s="417">
        <f aca="true" t="shared" si="21" ref="I181:I186">SUM(C181:H181)</f>
        <v>0</v>
      </c>
    </row>
    <row r="182" spans="2:9" ht="12.75" customHeight="1">
      <c r="B182" s="416" t="s">
        <v>389</v>
      </c>
      <c r="C182" s="302">
        <v>0</v>
      </c>
      <c r="D182" s="302">
        <v>0</v>
      </c>
      <c r="E182" s="302">
        <v>0</v>
      </c>
      <c r="F182" s="302">
        <v>0</v>
      </c>
      <c r="G182" s="302">
        <v>0</v>
      </c>
      <c r="H182" s="302">
        <v>0</v>
      </c>
      <c r="I182" s="417">
        <f t="shared" si="21"/>
        <v>0</v>
      </c>
    </row>
    <row r="183" spans="2:9" ht="12.75" customHeight="1">
      <c r="B183" s="416" t="s">
        <v>389</v>
      </c>
      <c r="C183" s="302">
        <v>0</v>
      </c>
      <c r="D183" s="302">
        <v>0</v>
      </c>
      <c r="E183" s="302">
        <v>0</v>
      </c>
      <c r="F183" s="302">
        <v>0</v>
      </c>
      <c r="G183" s="302">
        <v>0</v>
      </c>
      <c r="H183" s="302">
        <v>0</v>
      </c>
      <c r="I183" s="417">
        <f t="shared" si="21"/>
        <v>0</v>
      </c>
    </row>
    <row r="184" spans="2:9" ht="12.75" customHeight="1">
      <c r="B184" s="416" t="s">
        <v>389</v>
      </c>
      <c r="C184" s="302">
        <v>0</v>
      </c>
      <c r="D184" s="302">
        <v>0</v>
      </c>
      <c r="E184" s="302">
        <v>0</v>
      </c>
      <c r="F184" s="302">
        <v>0</v>
      </c>
      <c r="G184" s="302">
        <v>0</v>
      </c>
      <c r="H184" s="302">
        <v>0</v>
      </c>
      <c r="I184" s="417">
        <f t="shared" si="21"/>
        <v>0</v>
      </c>
    </row>
    <row r="185" spans="2:9" ht="12.75" customHeight="1">
      <c r="B185" s="416" t="s">
        <v>389</v>
      </c>
      <c r="C185" s="302">
        <v>0</v>
      </c>
      <c r="D185" s="302">
        <v>0</v>
      </c>
      <c r="E185" s="302">
        <v>0</v>
      </c>
      <c r="F185" s="302">
        <v>0</v>
      </c>
      <c r="G185" s="302">
        <v>0</v>
      </c>
      <c r="H185" s="302">
        <v>0</v>
      </c>
      <c r="I185" s="417">
        <f t="shared" si="21"/>
        <v>0</v>
      </c>
    </row>
    <row r="186" spans="2:9" ht="12.75" customHeight="1">
      <c r="B186" s="416" t="s">
        <v>359</v>
      </c>
      <c r="C186" s="302">
        <v>0</v>
      </c>
      <c r="D186" s="302">
        <v>0</v>
      </c>
      <c r="E186" s="302">
        <v>0</v>
      </c>
      <c r="F186" s="302">
        <v>0</v>
      </c>
      <c r="G186" s="302">
        <v>0</v>
      </c>
      <c r="H186" s="302">
        <v>0</v>
      </c>
      <c r="I186" s="417">
        <f t="shared" si="21"/>
        <v>0</v>
      </c>
    </row>
    <row r="187" spans="2:9" ht="12.75" customHeight="1">
      <c r="B187" s="406" t="s">
        <v>357</v>
      </c>
      <c r="C187" s="387">
        <f aca="true" t="shared" si="22" ref="C187:I187">SUM(C181:C186)</f>
        <v>0</v>
      </c>
      <c r="D187" s="387">
        <f t="shared" si="22"/>
        <v>0</v>
      </c>
      <c r="E187" s="387">
        <f t="shared" si="22"/>
        <v>0</v>
      </c>
      <c r="F187" s="387">
        <f t="shared" si="22"/>
        <v>0</v>
      </c>
      <c r="G187" s="387">
        <f t="shared" si="22"/>
        <v>0</v>
      </c>
      <c r="H187" s="387">
        <f t="shared" si="22"/>
        <v>0</v>
      </c>
      <c r="I187" s="424">
        <f t="shared" si="22"/>
        <v>0</v>
      </c>
    </row>
    <row r="188" spans="2:9" ht="12.75" customHeight="1">
      <c r="B188" s="311"/>
      <c r="I188" s="315"/>
    </row>
    <row r="189" spans="2:9" ht="12.75" customHeight="1">
      <c r="B189" s="311"/>
      <c r="I189" s="315"/>
    </row>
    <row r="190" spans="2:9" ht="12.75" customHeight="1">
      <c r="B190" s="421" t="s">
        <v>392</v>
      </c>
      <c r="C190" s="422">
        <f>I178+I187</f>
        <v>0</v>
      </c>
      <c r="D190" s="411"/>
      <c r="E190" s="411"/>
      <c r="F190" s="411"/>
      <c r="G190" s="411"/>
      <c r="H190" s="411"/>
      <c r="I190" s="412"/>
    </row>
    <row r="193" spans="2:9" ht="12.75" customHeight="1">
      <c r="B193" s="413" t="s">
        <v>390</v>
      </c>
      <c r="C193" s="414" t="s">
        <v>387</v>
      </c>
      <c r="D193" s="414" t="s">
        <v>387</v>
      </c>
      <c r="E193" s="414" t="s">
        <v>387</v>
      </c>
      <c r="F193" s="414" t="s">
        <v>387</v>
      </c>
      <c r="G193" s="414" t="s">
        <v>387</v>
      </c>
      <c r="H193" s="414" t="s">
        <v>387</v>
      </c>
      <c r="I193" s="415" t="s">
        <v>357</v>
      </c>
    </row>
    <row r="194" spans="2:9" ht="12.75" customHeight="1">
      <c r="B194" s="416" t="s">
        <v>389</v>
      </c>
      <c r="C194" s="302">
        <v>0</v>
      </c>
      <c r="D194" s="302">
        <v>0</v>
      </c>
      <c r="E194" s="302">
        <v>0</v>
      </c>
      <c r="F194" s="302">
        <v>0</v>
      </c>
      <c r="G194" s="302">
        <v>0</v>
      </c>
      <c r="H194" s="302">
        <v>0</v>
      </c>
      <c r="I194" s="417">
        <f aca="true" t="shared" si="23" ref="I194:I199">SUM(C194:H194)</f>
        <v>0</v>
      </c>
    </row>
    <row r="195" spans="2:9" ht="12.75" customHeight="1">
      <c r="B195" s="416" t="s">
        <v>389</v>
      </c>
      <c r="C195" s="302">
        <v>0</v>
      </c>
      <c r="D195" s="302">
        <v>0</v>
      </c>
      <c r="E195" s="302">
        <v>0</v>
      </c>
      <c r="F195" s="302">
        <v>0</v>
      </c>
      <c r="G195" s="302">
        <v>0</v>
      </c>
      <c r="H195" s="302">
        <v>0</v>
      </c>
      <c r="I195" s="417">
        <f t="shared" si="23"/>
        <v>0</v>
      </c>
    </row>
    <row r="196" spans="2:9" ht="12.75" customHeight="1">
      <c r="B196" s="416" t="s">
        <v>389</v>
      </c>
      <c r="C196" s="302">
        <v>0</v>
      </c>
      <c r="D196" s="302">
        <v>0</v>
      </c>
      <c r="E196" s="302">
        <v>0</v>
      </c>
      <c r="F196" s="302">
        <v>0</v>
      </c>
      <c r="G196" s="302">
        <v>0</v>
      </c>
      <c r="H196" s="302">
        <v>0</v>
      </c>
      <c r="I196" s="417">
        <f t="shared" si="23"/>
        <v>0</v>
      </c>
    </row>
    <row r="197" spans="2:9" ht="12.75" customHeight="1">
      <c r="B197" s="416" t="s">
        <v>389</v>
      </c>
      <c r="C197" s="302">
        <v>0</v>
      </c>
      <c r="D197" s="302">
        <v>0</v>
      </c>
      <c r="E197" s="302">
        <v>0</v>
      </c>
      <c r="F197" s="302">
        <v>0</v>
      </c>
      <c r="G197" s="302">
        <v>0</v>
      </c>
      <c r="H197" s="302">
        <v>0</v>
      </c>
      <c r="I197" s="417">
        <f t="shared" si="23"/>
        <v>0</v>
      </c>
    </row>
    <row r="198" spans="2:9" ht="12.75" customHeight="1">
      <c r="B198" s="416" t="s">
        <v>389</v>
      </c>
      <c r="C198" s="302">
        <v>0</v>
      </c>
      <c r="D198" s="302">
        <v>0</v>
      </c>
      <c r="E198" s="302">
        <v>0</v>
      </c>
      <c r="F198" s="302">
        <v>0</v>
      </c>
      <c r="G198" s="302">
        <v>0</v>
      </c>
      <c r="H198" s="302">
        <v>0</v>
      </c>
      <c r="I198" s="417">
        <f t="shared" si="23"/>
        <v>0</v>
      </c>
    </row>
    <row r="199" spans="2:9" ht="12.75" customHeight="1">
      <c r="B199" s="416" t="s">
        <v>389</v>
      </c>
      <c r="C199" s="302">
        <v>0</v>
      </c>
      <c r="D199" s="302">
        <v>0</v>
      </c>
      <c r="E199" s="302">
        <v>0</v>
      </c>
      <c r="F199" s="302">
        <v>0</v>
      </c>
      <c r="G199" s="302">
        <v>0</v>
      </c>
      <c r="H199" s="302"/>
      <c r="I199" s="417">
        <f t="shared" si="23"/>
        <v>0</v>
      </c>
    </row>
    <row r="200" spans="2:9" ht="12.75" customHeight="1">
      <c r="B200" s="406" t="s">
        <v>357</v>
      </c>
      <c r="C200" s="387">
        <f aca="true" t="shared" si="24" ref="C200:I200">SUM(C194:C199)</f>
        <v>0</v>
      </c>
      <c r="D200" s="387">
        <f t="shared" si="24"/>
        <v>0</v>
      </c>
      <c r="E200" s="387">
        <f t="shared" si="24"/>
        <v>0</v>
      </c>
      <c r="F200" s="387">
        <f t="shared" si="24"/>
        <v>0</v>
      </c>
      <c r="G200" s="387">
        <f t="shared" si="24"/>
        <v>0</v>
      </c>
      <c r="H200" s="387">
        <f t="shared" si="24"/>
        <v>0</v>
      </c>
      <c r="I200" s="424">
        <f t="shared" si="24"/>
        <v>0</v>
      </c>
    </row>
    <row r="201" spans="2:9" ht="12.75" customHeight="1">
      <c r="B201" s="311"/>
      <c r="I201" s="315"/>
    </row>
    <row r="202" spans="2:9" ht="12.75" customHeight="1">
      <c r="B202" s="421" t="s">
        <v>393</v>
      </c>
      <c r="C202" s="422">
        <f>I190+I199</f>
        <v>0</v>
      </c>
      <c r="D202" s="411"/>
      <c r="E202" s="411"/>
      <c r="F202" s="411"/>
      <c r="G202" s="411"/>
      <c r="H202" s="411"/>
      <c r="I202" s="412"/>
    </row>
  </sheetData>
  <sheetProtection/>
  <mergeCells count="6">
    <mergeCell ref="B7:I7"/>
    <mergeCell ref="B91:I91"/>
    <mergeCell ref="B110:I110"/>
    <mergeCell ref="B125:I125"/>
    <mergeCell ref="B76:I76"/>
    <mergeCell ref="B57:I57"/>
  </mergeCells>
  <printOptions/>
  <pageMargins left="0.7" right="0.7" top="0.75" bottom="0.75" header="0.3" footer="0.3"/>
  <pageSetup horizontalDpi="600" verticalDpi="6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78"/>
  <sheetViews>
    <sheetView zoomScalePageLayoutView="0" workbookViewId="0" topLeftCell="A1">
      <selection activeCell="B68" sqref="B68:B71"/>
    </sheetView>
  </sheetViews>
  <sheetFormatPr defaultColWidth="8.88671875" defaultRowHeight="12.75" customHeight="1"/>
  <cols>
    <col min="1" max="1" width="8.88671875" style="116" customWidth="1"/>
    <col min="2" max="2" width="31.21484375" style="116" customWidth="1"/>
    <col min="3" max="3" width="15.21484375" style="117" customWidth="1"/>
    <col min="4" max="4" width="16.88671875" style="116" customWidth="1"/>
    <col min="5" max="5" width="10.88671875" style="116" customWidth="1"/>
    <col min="6" max="6" width="11.99609375" style="116" customWidth="1"/>
    <col min="7" max="7" width="12.4453125" style="116" customWidth="1"/>
    <col min="8" max="8" width="10.88671875" style="116" customWidth="1"/>
    <col min="9" max="9" width="11.4453125" style="116" customWidth="1"/>
    <col min="10" max="10" width="11.88671875" style="116" customWidth="1"/>
    <col min="11" max="16384" width="8.88671875" style="116" customWidth="1"/>
  </cols>
  <sheetData>
    <row r="1" spans="1:10" ht="12.75" customHeight="1">
      <c r="A1" s="190" t="str">
        <f>Control!C6</f>
        <v>Lake Area New Tech Early College High School 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12.75" customHeight="1">
      <c r="A2" s="191" t="s">
        <v>408</v>
      </c>
      <c r="B2" s="195"/>
      <c r="C2" s="195"/>
      <c r="D2" s="195"/>
      <c r="E2" s="191"/>
      <c r="F2" s="191"/>
      <c r="G2" s="191"/>
      <c r="H2" s="191"/>
      <c r="I2" s="191"/>
      <c r="J2" s="192"/>
    </row>
    <row r="3" spans="1:10" ht="12.75" customHeight="1">
      <c r="A3" s="193"/>
      <c r="B3" s="323"/>
      <c r="C3" s="323"/>
      <c r="D3" s="323"/>
      <c r="E3" s="193"/>
      <c r="F3" s="193"/>
      <c r="G3" s="193"/>
      <c r="H3" s="193"/>
      <c r="I3" s="193"/>
      <c r="J3" s="194"/>
    </row>
    <row r="4" spans="1:2" ht="12.75" customHeight="1">
      <c r="A4" s="300"/>
      <c r="B4" s="301" t="s">
        <v>360</v>
      </c>
    </row>
    <row r="5" spans="1:10" s="324" customFormat="1" ht="18.75" customHeight="1">
      <c r="A5" s="116"/>
      <c r="B5" s="305" t="s">
        <v>361</v>
      </c>
      <c r="C5" s="116"/>
      <c r="D5" s="116"/>
      <c r="E5" s="116"/>
      <c r="F5" s="116"/>
      <c r="G5" s="116"/>
      <c r="H5" s="116"/>
      <c r="I5" s="116"/>
      <c r="J5" s="116"/>
    </row>
    <row r="6" spans="1:10" s="288" customFormat="1" ht="12.75" customHeight="1">
      <c r="A6" s="116"/>
      <c r="B6" s="116"/>
      <c r="C6" s="117"/>
      <c r="D6" s="325"/>
      <c r="E6" s="497"/>
      <c r="F6" s="325"/>
      <c r="G6" s="325"/>
      <c r="H6" s="325"/>
      <c r="I6" s="325"/>
      <c r="J6" s="116"/>
    </row>
    <row r="7" spans="1:10" s="288" customFormat="1" ht="15" customHeight="1">
      <c r="A7" s="326">
        <v>2100</v>
      </c>
      <c r="B7" s="563" t="s">
        <v>60</v>
      </c>
      <c r="C7" s="563"/>
      <c r="D7" s="563"/>
      <c r="E7" s="563"/>
      <c r="F7" s="563"/>
      <c r="G7" s="563"/>
      <c r="H7" s="563"/>
      <c r="I7" s="564"/>
      <c r="J7" s="324"/>
    </row>
    <row r="8" spans="1:10" ht="12.75" customHeight="1">
      <c r="A8" s="309"/>
      <c r="B8" s="289"/>
      <c r="C8" s="290"/>
      <c r="D8" s="289"/>
      <c r="E8" s="289"/>
      <c r="F8" s="289"/>
      <c r="G8" s="289"/>
      <c r="H8" s="289"/>
      <c r="I8" s="310"/>
      <c r="J8" s="288"/>
    </row>
    <row r="9" spans="1:10" ht="12.75" customHeight="1">
      <c r="A9" s="309" t="s">
        <v>394</v>
      </c>
      <c r="B9" s="289"/>
      <c r="C9" s="290"/>
      <c r="D9" s="325" t="s">
        <v>167</v>
      </c>
      <c r="E9" s="497">
        <v>0.35</v>
      </c>
      <c r="F9" s="325" t="s">
        <v>162</v>
      </c>
      <c r="G9" s="325" t="s">
        <v>353</v>
      </c>
      <c r="H9" s="325" t="s">
        <v>352</v>
      </c>
      <c r="I9" s="325" t="s">
        <v>354</v>
      </c>
      <c r="J9" s="288"/>
    </row>
    <row r="10" spans="1:9" ht="12.75" customHeight="1">
      <c r="A10" s="311"/>
      <c r="B10" s="549"/>
      <c r="C10" s="525" t="s">
        <v>316</v>
      </c>
      <c r="D10" s="505">
        <v>21855</v>
      </c>
      <c r="E10" s="505">
        <f>D10*E9</f>
        <v>7649.249999999999</v>
      </c>
      <c r="F10" s="505">
        <f aca="true" t="shared" si="0" ref="F10:F18">SUM(D10:E10)</f>
        <v>29504.25</v>
      </c>
      <c r="G10" s="505"/>
      <c r="H10" s="505">
        <f>F10</f>
        <v>29504.25</v>
      </c>
      <c r="I10" s="312" t="s">
        <v>454</v>
      </c>
    </row>
    <row r="11" spans="1:9" ht="12.75" customHeight="1">
      <c r="A11" s="311"/>
      <c r="B11" s="549"/>
      <c r="C11" s="525" t="s">
        <v>460</v>
      </c>
      <c r="D11" s="505">
        <v>31800</v>
      </c>
      <c r="E11" s="505">
        <f>D11*E9</f>
        <v>11130</v>
      </c>
      <c r="F11" s="505">
        <f t="shared" si="0"/>
        <v>42930</v>
      </c>
      <c r="G11" s="505">
        <f>F11</f>
        <v>42930</v>
      </c>
      <c r="H11" s="505"/>
      <c r="I11" s="312"/>
    </row>
    <row r="12" spans="1:9" ht="12.75" customHeight="1">
      <c r="A12" s="311"/>
      <c r="B12" s="549"/>
      <c r="C12" s="525" t="s">
        <v>461</v>
      </c>
      <c r="D12" s="505">
        <f>48555/2</f>
        <v>24277.5</v>
      </c>
      <c r="E12" s="505">
        <f>D12*E9</f>
        <v>8497.125</v>
      </c>
      <c r="F12" s="505">
        <f t="shared" si="0"/>
        <v>32774.625</v>
      </c>
      <c r="G12" s="505">
        <f>F12</f>
        <v>32774.625</v>
      </c>
      <c r="H12" s="505"/>
      <c r="I12" s="312"/>
    </row>
    <row r="13" spans="1:9" ht="12.75" customHeight="1">
      <c r="A13" s="311"/>
      <c r="B13" s="549"/>
      <c r="C13" s="525" t="s">
        <v>436</v>
      </c>
      <c r="D13" s="505">
        <v>45714</v>
      </c>
      <c r="E13" s="505">
        <f>D13*E9</f>
        <v>15999.9</v>
      </c>
      <c r="F13" s="505">
        <f t="shared" si="0"/>
        <v>61713.9</v>
      </c>
      <c r="G13" s="505"/>
      <c r="H13" s="505">
        <f>F13</f>
        <v>61713.9</v>
      </c>
      <c r="I13" s="312" t="s">
        <v>454</v>
      </c>
    </row>
    <row r="14" spans="1:9" ht="12.75" customHeight="1">
      <c r="A14" s="311"/>
      <c r="B14" s="550"/>
      <c r="C14" s="505" t="s">
        <v>437</v>
      </c>
      <c r="D14" s="505">
        <v>50000</v>
      </c>
      <c r="E14" s="505">
        <f>D14*E9</f>
        <v>17500</v>
      </c>
      <c r="F14" s="505">
        <f t="shared" si="0"/>
        <v>67500</v>
      </c>
      <c r="G14" s="505"/>
      <c r="H14" s="505">
        <f>F14</f>
        <v>67500</v>
      </c>
      <c r="I14" s="312" t="s">
        <v>454</v>
      </c>
    </row>
    <row r="15" spans="1:9" ht="12.75" customHeight="1">
      <c r="A15" s="311"/>
      <c r="B15" s="550"/>
      <c r="C15" s="505" t="s">
        <v>473</v>
      </c>
      <c r="D15" s="505">
        <v>57154</v>
      </c>
      <c r="E15" s="505">
        <f>D15*E9</f>
        <v>20003.899999999998</v>
      </c>
      <c r="F15" s="505">
        <f t="shared" si="0"/>
        <v>77157.9</v>
      </c>
      <c r="G15" s="505"/>
      <c r="H15" s="505">
        <f>F15</f>
        <v>77157.9</v>
      </c>
      <c r="I15" s="312" t="s">
        <v>454</v>
      </c>
    </row>
    <row r="16" spans="1:9" ht="12.75" customHeight="1">
      <c r="A16" s="311"/>
      <c r="B16" s="550"/>
      <c r="C16" s="505" t="s">
        <v>255</v>
      </c>
      <c r="D16" s="505">
        <v>25000</v>
      </c>
      <c r="E16" s="505">
        <f>D16*E9</f>
        <v>8750</v>
      </c>
      <c r="F16" s="505">
        <f t="shared" si="0"/>
        <v>33750</v>
      </c>
      <c r="G16" s="505">
        <f>F16</f>
        <v>33750</v>
      </c>
      <c r="H16" s="505"/>
      <c r="I16" s="312"/>
    </row>
    <row r="17" spans="1:9" ht="12.75" customHeight="1">
      <c r="A17" s="311"/>
      <c r="B17" s="550"/>
      <c r="C17" s="505" t="s">
        <v>255</v>
      </c>
      <c r="D17" s="505">
        <v>21000</v>
      </c>
      <c r="E17" s="505">
        <f>D17*E9</f>
        <v>7349.999999999999</v>
      </c>
      <c r="F17" s="505">
        <f t="shared" si="0"/>
        <v>28350</v>
      </c>
      <c r="G17" s="505">
        <f>F17</f>
        <v>28350</v>
      </c>
      <c r="H17" s="505"/>
      <c r="I17" s="312"/>
    </row>
    <row r="18" spans="1:9" ht="12.75" customHeight="1">
      <c r="A18" s="311"/>
      <c r="B18" s="550"/>
      <c r="C18" s="505" t="str">
        <f>C16</f>
        <v>Security </v>
      </c>
      <c r="D18" s="505">
        <v>23000</v>
      </c>
      <c r="E18" s="505">
        <f>D18*E9</f>
        <v>8049.999999999999</v>
      </c>
      <c r="F18" s="505">
        <f t="shared" si="0"/>
        <v>31050</v>
      </c>
      <c r="G18" s="505">
        <f>F18</f>
        <v>31050</v>
      </c>
      <c r="H18" s="505"/>
      <c r="I18" s="312"/>
    </row>
    <row r="19" spans="1:9" ht="12.75" customHeight="1">
      <c r="A19" s="311"/>
      <c r="B19" s="549"/>
      <c r="C19" s="525"/>
      <c r="D19" s="505"/>
      <c r="E19" s="505"/>
      <c r="F19" s="505"/>
      <c r="G19" s="505"/>
      <c r="H19" s="505"/>
      <c r="I19" s="312"/>
    </row>
    <row r="20" spans="1:9" ht="12.75" customHeight="1">
      <c r="A20" s="316" t="s">
        <v>362</v>
      </c>
      <c r="B20" s="355"/>
      <c r="C20" s="355"/>
      <c r="D20" s="356">
        <f>SUM(D10:D19)</f>
        <v>299800.5</v>
      </c>
      <c r="E20" s="356">
        <f>SUM(E10:E19)</f>
        <v>104930.175</v>
      </c>
      <c r="F20" s="356">
        <f>SUM(F10:F19)</f>
        <v>404730.675</v>
      </c>
      <c r="G20" s="356">
        <f>SUM(G10:G19)</f>
        <v>168854.625</v>
      </c>
      <c r="H20" s="356">
        <f>SUM(H10:H19)</f>
        <v>235876.05</v>
      </c>
      <c r="I20" s="433"/>
    </row>
    <row r="21" spans="1:9" ht="12.75" customHeight="1">
      <c r="A21" s="311"/>
      <c r="B21" s="117"/>
      <c r="D21" s="291"/>
      <c r="E21" s="122"/>
      <c r="F21" s="122"/>
      <c r="G21" s="291">
        <v>0</v>
      </c>
      <c r="H21" s="122"/>
      <c r="I21" s="315"/>
    </row>
    <row r="22" spans="1:9" ht="12.75" customHeight="1">
      <c r="A22" s="316" t="s">
        <v>359</v>
      </c>
      <c r="B22" s="117"/>
      <c r="D22" s="325"/>
      <c r="E22" s="289"/>
      <c r="F22" s="325"/>
      <c r="G22" s="325"/>
      <c r="H22" s="325"/>
      <c r="I22" s="359"/>
    </row>
    <row r="23" spans="1:9" ht="12.75" customHeight="1">
      <c r="A23" s="311"/>
      <c r="B23" s="301"/>
      <c r="C23" s="301"/>
      <c r="D23" s="302"/>
      <c r="E23" s="303"/>
      <c r="F23" s="303"/>
      <c r="G23" s="303"/>
      <c r="H23" s="303"/>
      <c r="I23" s="312"/>
    </row>
    <row r="24" spans="1:9" ht="12.75" customHeight="1">
      <c r="A24" s="311"/>
      <c r="B24" s="301"/>
      <c r="C24" s="301"/>
      <c r="D24" s="302"/>
      <c r="E24" s="303"/>
      <c r="F24" s="303"/>
      <c r="G24" s="303"/>
      <c r="H24" s="303"/>
      <c r="I24" s="312"/>
    </row>
    <row r="25" spans="1:10" s="332" customFormat="1" ht="12.75" customHeight="1">
      <c r="A25" s="316" t="s">
        <v>362</v>
      </c>
      <c r="B25" s="117"/>
      <c r="C25" s="117"/>
      <c r="D25" s="292">
        <f>SUM(D23:D24)</f>
        <v>0</v>
      </c>
      <c r="E25" s="292">
        <f>SUM(E23:E24)</f>
        <v>0</v>
      </c>
      <c r="F25" s="292">
        <f>SUM(F23:F24)</f>
        <v>0</v>
      </c>
      <c r="G25" s="292">
        <f>SUM(G23:G24)</f>
        <v>0</v>
      </c>
      <c r="H25" s="292">
        <f>SUM(H23:H24)</f>
        <v>0</v>
      </c>
      <c r="I25" s="315"/>
      <c r="J25" s="116"/>
    </row>
    <row r="26" spans="1:9" ht="12.75" customHeight="1">
      <c r="A26" s="316"/>
      <c r="B26" s="117"/>
      <c r="D26" s="292"/>
      <c r="E26" s="292"/>
      <c r="F26" s="292"/>
      <c r="G26" s="292"/>
      <c r="H26" s="292"/>
      <c r="I26" s="315"/>
    </row>
    <row r="27" spans="1:10" ht="12.75" customHeight="1">
      <c r="A27" s="334">
        <v>2100</v>
      </c>
      <c r="B27" s="335" t="s">
        <v>162</v>
      </c>
      <c r="C27" s="336"/>
      <c r="D27" s="337">
        <f aca="true" t="shared" si="1" ref="D27:I27">D25+D20</f>
        <v>299800.5</v>
      </c>
      <c r="E27" s="337">
        <f t="shared" si="1"/>
        <v>104930.175</v>
      </c>
      <c r="F27" s="337">
        <f t="shared" si="1"/>
        <v>404730.675</v>
      </c>
      <c r="G27" s="337">
        <f t="shared" si="1"/>
        <v>168854.625</v>
      </c>
      <c r="H27" s="337">
        <f t="shared" si="1"/>
        <v>235876.05</v>
      </c>
      <c r="I27" s="338">
        <f t="shared" si="1"/>
        <v>0</v>
      </c>
      <c r="J27" s="331">
        <f>SUM(G27:H27)</f>
        <v>404730.675</v>
      </c>
    </row>
    <row r="28" spans="1:10" s="330" customFormat="1" ht="18.75">
      <c r="A28" s="116"/>
      <c r="B28" s="116"/>
      <c r="C28" s="117"/>
      <c r="D28" s="116"/>
      <c r="E28" s="116"/>
      <c r="F28" s="116"/>
      <c r="G28" s="116"/>
      <c r="H28" s="116"/>
      <c r="I28" s="116"/>
      <c r="J28" s="116"/>
    </row>
    <row r="29" spans="1:10" s="300" customFormat="1" ht="12.75">
      <c r="A29" s="116"/>
      <c r="B29" s="116"/>
      <c r="C29" s="117"/>
      <c r="D29" s="116"/>
      <c r="E29" s="116"/>
      <c r="F29" s="116"/>
      <c r="G29" s="116"/>
      <c r="H29" s="116"/>
      <c r="I29" s="116"/>
      <c r="J29" s="116"/>
    </row>
    <row r="30" spans="1:10" s="300" customFormat="1" ht="13.5" customHeight="1">
      <c r="A30" s="339">
        <v>2200</v>
      </c>
      <c r="B30" s="573" t="s">
        <v>63</v>
      </c>
      <c r="C30" s="573"/>
      <c r="D30" s="573"/>
      <c r="E30" s="573"/>
      <c r="F30" s="573"/>
      <c r="G30" s="573"/>
      <c r="H30" s="573"/>
      <c r="I30" s="574"/>
      <c r="J30" s="330"/>
    </row>
    <row r="31" spans="1:10" ht="12" customHeight="1">
      <c r="A31" s="309"/>
      <c r="B31" s="289"/>
      <c r="C31" s="290"/>
      <c r="D31" s="289"/>
      <c r="E31" s="289"/>
      <c r="F31" s="289"/>
      <c r="G31" s="289"/>
      <c r="H31" s="289"/>
      <c r="I31" s="310"/>
      <c r="J31" s="300"/>
    </row>
    <row r="32" spans="1:10" ht="12" customHeight="1">
      <c r="A32" s="309" t="s">
        <v>462</v>
      </c>
      <c r="B32" s="289"/>
      <c r="C32" s="290"/>
      <c r="D32" s="325" t="s">
        <v>167</v>
      </c>
      <c r="E32" s="497">
        <f>E9</f>
        <v>0.35</v>
      </c>
      <c r="F32" s="325" t="s">
        <v>162</v>
      </c>
      <c r="G32" s="325" t="s">
        <v>353</v>
      </c>
      <c r="H32" s="325" t="s">
        <v>352</v>
      </c>
      <c r="I32" s="359" t="s">
        <v>354</v>
      </c>
      <c r="J32" s="300"/>
    </row>
    <row r="33" spans="1:10" ht="12" customHeight="1">
      <c r="A33" s="311"/>
      <c r="B33" s="525"/>
      <c r="C33" s="525" t="s">
        <v>482</v>
      </c>
      <c r="D33" s="505">
        <f>1.03*16250</f>
        <v>16737.5</v>
      </c>
      <c r="E33" s="505">
        <f>D33*E32</f>
        <v>5858.125</v>
      </c>
      <c r="F33" s="505">
        <f>SUM(D33:E33)</f>
        <v>22595.625</v>
      </c>
      <c r="G33" s="505">
        <f>F33</f>
        <v>22595.625</v>
      </c>
      <c r="H33" s="505"/>
      <c r="I33" s="508"/>
      <c r="J33" s="352"/>
    </row>
    <row r="34" spans="1:10" ht="12" customHeight="1">
      <c r="A34" s="311"/>
      <c r="B34" s="525"/>
      <c r="C34" s="525" t="s">
        <v>483</v>
      </c>
      <c r="D34" s="505">
        <f>50000/4</f>
        <v>12500</v>
      </c>
      <c r="E34" s="505">
        <f>D34*E32</f>
        <v>4375</v>
      </c>
      <c r="F34" s="505">
        <f>SUM(D34:E34)</f>
        <v>16875</v>
      </c>
      <c r="G34" s="505">
        <f>F34</f>
        <v>16875</v>
      </c>
      <c r="H34" s="505"/>
      <c r="I34" s="508"/>
      <c r="J34" s="352"/>
    </row>
    <row r="35" spans="1:9" ht="12" customHeight="1">
      <c r="A35" s="316" t="s">
        <v>362</v>
      </c>
      <c r="B35" s="117"/>
      <c r="D35" s="292">
        <f>SUM(D33:D34)</f>
        <v>29237.5</v>
      </c>
      <c r="E35" s="292">
        <f>SUM(E33:E34)</f>
        <v>10233.125</v>
      </c>
      <c r="F35" s="292">
        <f>SUM(F33:F34)</f>
        <v>39470.625</v>
      </c>
      <c r="G35" s="292">
        <f>G33</f>
        <v>22595.625</v>
      </c>
      <c r="H35" s="292">
        <f>SUM(H33:H34)</f>
        <v>0</v>
      </c>
      <c r="I35" s="362">
        <f>SUM(J33:J34)</f>
        <v>0</v>
      </c>
    </row>
    <row r="36" spans="1:9" ht="12" customHeight="1">
      <c r="A36" s="318"/>
      <c r="B36" s="117"/>
      <c r="D36" s="291"/>
      <c r="E36" s="122"/>
      <c r="F36" s="122"/>
      <c r="I36" s="320"/>
    </row>
    <row r="37" spans="1:9" ht="12" customHeight="1">
      <c r="A37" s="321" t="s">
        <v>359</v>
      </c>
      <c r="B37" s="117"/>
      <c r="D37" s="291"/>
      <c r="E37" s="122"/>
      <c r="F37" s="122"/>
      <c r="I37" s="320"/>
    </row>
    <row r="38" spans="1:9" ht="12" customHeight="1">
      <c r="A38" s="318"/>
      <c r="B38" s="301"/>
      <c r="C38" s="301"/>
      <c r="D38" s="302"/>
      <c r="E38" s="303">
        <f>D38*$E$32</f>
        <v>0</v>
      </c>
      <c r="F38" s="303"/>
      <c r="G38" s="302"/>
      <c r="H38" s="304"/>
      <c r="I38" s="322"/>
    </row>
    <row r="39" spans="1:9" ht="12" customHeight="1">
      <c r="A39" s="318"/>
      <c r="B39" s="301"/>
      <c r="C39" s="301"/>
      <c r="D39" s="302"/>
      <c r="E39" s="303">
        <f>D39*$E$32</f>
        <v>0</v>
      </c>
      <c r="F39" s="303"/>
      <c r="G39" s="302"/>
      <c r="H39" s="304"/>
      <c r="I39" s="322"/>
    </row>
    <row r="40" spans="1:10" s="385" customFormat="1" ht="15.75" customHeight="1">
      <c r="A40" s="316" t="s">
        <v>362</v>
      </c>
      <c r="B40" s="117"/>
      <c r="C40" s="117"/>
      <c r="D40" s="292">
        <f aca="true" t="shared" si="2" ref="D40:I40">SUM(D38:D39)</f>
        <v>0</v>
      </c>
      <c r="E40" s="292">
        <f t="shared" si="2"/>
        <v>0</v>
      </c>
      <c r="F40" s="292">
        <f t="shared" si="2"/>
        <v>0</v>
      </c>
      <c r="G40" s="292">
        <f t="shared" si="2"/>
        <v>0</v>
      </c>
      <c r="H40" s="292">
        <f t="shared" si="2"/>
        <v>0</v>
      </c>
      <c r="I40" s="362">
        <f t="shared" si="2"/>
        <v>0</v>
      </c>
      <c r="J40" s="116"/>
    </row>
    <row r="41" spans="1:9" ht="12" customHeight="1">
      <c r="A41" s="318"/>
      <c r="B41" s="117"/>
      <c r="D41" s="291"/>
      <c r="E41" s="122"/>
      <c r="F41" s="122"/>
      <c r="I41" s="320"/>
    </row>
    <row r="42" spans="1:10" ht="12" customHeight="1">
      <c r="A42" s="340">
        <v>2200</v>
      </c>
      <c r="B42" s="341" t="s">
        <v>162</v>
      </c>
      <c r="C42" s="342"/>
      <c r="D42" s="343">
        <f aca="true" t="shared" si="3" ref="D42:I42">D40+D35</f>
        <v>29237.5</v>
      </c>
      <c r="E42" s="343">
        <f t="shared" si="3"/>
        <v>10233.125</v>
      </c>
      <c r="F42" s="343">
        <f t="shared" si="3"/>
        <v>39470.625</v>
      </c>
      <c r="G42" s="343">
        <f>G35</f>
        <v>22595.625</v>
      </c>
      <c r="H42" s="343">
        <f t="shared" si="3"/>
        <v>0</v>
      </c>
      <c r="I42" s="344">
        <f t="shared" si="3"/>
        <v>0</v>
      </c>
      <c r="J42" s="331">
        <f>SUM(G42:H42)</f>
        <v>22595.625</v>
      </c>
    </row>
    <row r="43" spans="1:10" s="330" customFormat="1" ht="19.5" customHeight="1">
      <c r="A43" s="116"/>
      <c r="B43" s="116"/>
      <c r="C43" s="117"/>
      <c r="D43" s="116"/>
      <c r="E43" s="116"/>
      <c r="F43" s="116"/>
      <c r="G43" s="116"/>
      <c r="H43" s="122"/>
      <c r="I43" s="291"/>
      <c r="J43" s="116"/>
    </row>
    <row r="44" spans="1:10" s="330" customFormat="1" ht="12" customHeight="1">
      <c r="A44" s="116"/>
      <c r="B44" s="116"/>
      <c r="C44" s="117"/>
      <c r="D44" s="116"/>
      <c r="E44" s="116"/>
      <c r="F44" s="116"/>
      <c r="G44" s="116"/>
      <c r="H44" s="122"/>
      <c r="I44" s="291"/>
      <c r="J44" s="116"/>
    </row>
    <row r="45" spans="1:10" s="300" customFormat="1" ht="14.25" customHeight="1">
      <c r="A45" s="345">
        <v>2300</v>
      </c>
      <c r="B45" s="571" t="s">
        <v>66</v>
      </c>
      <c r="C45" s="571"/>
      <c r="D45" s="571"/>
      <c r="E45" s="571"/>
      <c r="F45" s="571"/>
      <c r="G45" s="571"/>
      <c r="H45" s="571"/>
      <c r="I45" s="572"/>
      <c r="J45" s="330"/>
    </row>
    <row r="46" spans="1:10" ht="12" customHeight="1">
      <c r="A46" s="360"/>
      <c r="B46" s="329"/>
      <c r="C46" s="329"/>
      <c r="D46" s="329"/>
      <c r="E46" s="329"/>
      <c r="F46" s="329"/>
      <c r="G46" s="329"/>
      <c r="H46" s="329"/>
      <c r="I46" s="361"/>
      <c r="J46" s="330"/>
    </row>
    <row r="47" spans="1:13" ht="12" customHeight="1">
      <c r="A47" s="309" t="s">
        <v>394</v>
      </c>
      <c r="B47" s="289"/>
      <c r="C47" s="290"/>
      <c r="D47" s="325" t="s">
        <v>167</v>
      </c>
      <c r="E47" s="497">
        <f>E9</f>
        <v>0.35</v>
      </c>
      <c r="F47" s="325" t="s">
        <v>162</v>
      </c>
      <c r="G47" s="325" t="s">
        <v>353</v>
      </c>
      <c r="H47" s="325" t="s">
        <v>352</v>
      </c>
      <c r="I47" s="359" t="s">
        <v>354</v>
      </c>
      <c r="J47" s="300"/>
      <c r="M47" s="116" t="s">
        <v>463</v>
      </c>
    </row>
    <row r="48" spans="1:9" ht="12" customHeight="1">
      <c r="A48" s="311"/>
      <c r="B48" s="304" t="s">
        <v>481</v>
      </c>
      <c r="C48" s="301"/>
      <c r="D48" s="302"/>
      <c r="E48" s="303"/>
      <c r="F48" s="538">
        <f>SUM(Budget!H17)*0.08</f>
        <v>444754.30229007633</v>
      </c>
      <c r="G48" s="538">
        <f>F48</f>
        <v>444754.30229007633</v>
      </c>
      <c r="H48" s="304"/>
      <c r="I48" s="312"/>
    </row>
    <row r="49" spans="1:9" ht="12" customHeight="1">
      <c r="A49" s="311"/>
      <c r="B49" s="304"/>
      <c r="C49" s="301"/>
      <c r="D49" s="302"/>
      <c r="E49" s="303"/>
      <c r="F49" s="303"/>
      <c r="G49" s="303"/>
      <c r="H49" s="304"/>
      <c r="I49" s="312"/>
    </row>
    <row r="50" spans="1:9" ht="12" customHeight="1">
      <c r="A50" s="311"/>
      <c r="B50" s="304"/>
      <c r="C50" s="301"/>
      <c r="D50" s="302"/>
      <c r="E50" s="303"/>
      <c r="F50" s="303"/>
      <c r="G50" s="303"/>
      <c r="H50" s="304"/>
      <c r="I50" s="312"/>
    </row>
    <row r="51" spans="1:9" ht="12" customHeight="1">
      <c r="A51" s="311"/>
      <c r="B51" s="304"/>
      <c r="C51" s="301"/>
      <c r="D51" s="302"/>
      <c r="E51" s="303"/>
      <c r="F51" s="303"/>
      <c r="G51" s="303"/>
      <c r="H51" s="304"/>
      <c r="I51" s="312"/>
    </row>
    <row r="52" spans="1:9" ht="12" customHeight="1">
      <c r="A52" s="311"/>
      <c r="B52" s="304"/>
      <c r="C52" s="301"/>
      <c r="D52" s="302"/>
      <c r="E52" s="303"/>
      <c r="F52" s="303"/>
      <c r="G52" s="303"/>
      <c r="H52" s="304"/>
      <c r="I52" s="312"/>
    </row>
    <row r="53" spans="1:9" ht="12" customHeight="1">
      <c r="A53" s="311"/>
      <c r="B53" s="304"/>
      <c r="C53" s="301"/>
      <c r="D53" s="302"/>
      <c r="E53" s="303"/>
      <c r="F53" s="303"/>
      <c r="G53" s="303"/>
      <c r="H53" s="303"/>
      <c r="I53" s="312"/>
    </row>
    <row r="54" spans="1:9" ht="12" customHeight="1">
      <c r="A54" s="311"/>
      <c r="B54" s="304"/>
      <c r="C54" s="301"/>
      <c r="D54" s="302"/>
      <c r="E54" s="303"/>
      <c r="F54" s="303"/>
      <c r="G54" s="303"/>
      <c r="H54" s="304"/>
      <c r="I54" s="312"/>
    </row>
    <row r="55" spans="1:9" ht="12" customHeight="1">
      <c r="A55" s="316" t="s">
        <v>362</v>
      </c>
      <c r="B55" s="117"/>
      <c r="D55" s="292">
        <f aca="true" t="shared" si="4" ref="D55:I55">SUM(D48:D54)</f>
        <v>0</v>
      </c>
      <c r="E55" s="292">
        <f t="shared" si="4"/>
        <v>0</v>
      </c>
      <c r="F55" s="292">
        <f t="shared" si="4"/>
        <v>444754.30229007633</v>
      </c>
      <c r="G55" s="292">
        <f t="shared" si="4"/>
        <v>444754.30229007633</v>
      </c>
      <c r="H55" s="292">
        <f t="shared" si="4"/>
        <v>0</v>
      </c>
      <c r="I55" s="362">
        <f t="shared" si="4"/>
        <v>0</v>
      </c>
    </row>
    <row r="56" spans="1:9" ht="12" customHeight="1">
      <c r="A56" s="318"/>
      <c r="B56" s="117"/>
      <c r="D56" s="291"/>
      <c r="E56" s="122"/>
      <c r="F56" s="122"/>
      <c r="I56" s="320"/>
    </row>
    <row r="57" spans="1:9" ht="12" customHeight="1">
      <c r="A57" s="321" t="s">
        <v>359</v>
      </c>
      <c r="B57" s="117"/>
      <c r="D57" s="291"/>
      <c r="E57" s="122"/>
      <c r="F57" s="122"/>
      <c r="I57" s="320"/>
    </row>
    <row r="58" spans="1:9" ht="12" customHeight="1">
      <c r="A58" s="318"/>
      <c r="B58" s="301"/>
      <c r="C58" s="301"/>
      <c r="D58" s="302"/>
      <c r="E58" s="303"/>
      <c r="F58" s="303"/>
      <c r="G58" s="302"/>
      <c r="H58" s="304"/>
      <c r="I58" s="322"/>
    </row>
    <row r="59" spans="1:9" ht="12" customHeight="1">
      <c r="A59" s="318"/>
      <c r="B59" s="301"/>
      <c r="C59" s="301"/>
      <c r="D59" s="302">
        <v>0</v>
      </c>
      <c r="E59" s="303">
        <f>D59*$E$47</f>
        <v>0</v>
      </c>
      <c r="F59" s="303">
        <f>SUM(D59:E59)</f>
        <v>0</v>
      </c>
      <c r="G59" s="302"/>
      <c r="H59" s="304"/>
      <c r="I59" s="322"/>
    </row>
    <row r="60" spans="1:10" s="385" customFormat="1" ht="16.5" customHeight="1">
      <c r="A60" s="316" t="s">
        <v>362</v>
      </c>
      <c r="B60" s="117"/>
      <c r="C60" s="117"/>
      <c r="D60" s="292">
        <f aca="true" t="shared" si="5" ref="D60:I60">SUM(D58:D59)</f>
        <v>0</v>
      </c>
      <c r="E60" s="292">
        <f t="shared" si="5"/>
        <v>0</v>
      </c>
      <c r="F60" s="292">
        <f t="shared" si="5"/>
        <v>0</v>
      </c>
      <c r="G60" s="292">
        <f>F60</f>
        <v>0</v>
      </c>
      <c r="H60" s="292">
        <f t="shared" si="5"/>
        <v>0</v>
      </c>
      <c r="I60" s="362">
        <f t="shared" si="5"/>
        <v>0</v>
      </c>
      <c r="J60" s="116"/>
    </row>
    <row r="61" spans="1:10" s="385" customFormat="1" ht="16.5" customHeight="1">
      <c r="A61" s="318"/>
      <c r="B61" s="117"/>
      <c r="C61" s="117"/>
      <c r="D61" s="291"/>
      <c r="E61" s="122"/>
      <c r="F61" s="122"/>
      <c r="G61" s="116"/>
      <c r="H61" s="116"/>
      <c r="I61" s="320"/>
      <c r="J61" s="116"/>
    </row>
    <row r="62" spans="1:10" ht="12" customHeight="1">
      <c r="A62" s="363">
        <v>2300</v>
      </c>
      <c r="B62" s="364" t="s">
        <v>162</v>
      </c>
      <c r="C62" s="365"/>
      <c r="D62" s="366">
        <f aca="true" t="shared" si="6" ref="D62:I62">D60+D55</f>
        <v>0</v>
      </c>
      <c r="E62" s="366">
        <f t="shared" si="6"/>
        <v>0</v>
      </c>
      <c r="F62" s="366">
        <f t="shared" si="6"/>
        <v>444754.30229007633</v>
      </c>
      <c r="G62" s="366">
        <f t="shared" si="6"/>
        <v>444754.30229007633</v>
      </c>
      <c r="H62" s="366">
        <f t="shared" si="6"/>
        <v>0</v>
      </c>
      <c r="I62" s="367">
        <f t="shared" si="6"/>
        <v>0</v>
      </c>
      <c r="J62" s="331">
        <f>SUM(G62:H62)</f>
        <v>444754.30229007633</v>
      </c>
    </row>
    <row r="63" spans="1:10" ht="16.5" customHeight="1">
      <c r="A63" s="346"/>
      <c r="B63" s="346"/>
      <c r="C63" s="347"/>
      <c r="D63" s="348"/>
      <c r="E63" s="348"/>
      <c r="F63" s="348"/>
      <c r="G63" s="348"/>
      <c r="H63" s="348"/>
      <c r="I63" s="348"/>
      <c r="J63" s="331"/>
    </row>
    <row r="64" spans="1:9" ht="12" customHeight="1">
      <c r="A64" s="297"/>
      <c r="B64" s="117"/>
      <c r="D64" s="291"/>
      <c r="E64" s="122"/>
      <c r="F64" s="122"/>
      <c r="I64" s="122"/>
    </row>
    <row r="65" spans="1:9" ht="15" customHeight="1">
      <c r="A65" s="349">
        <v>2400</v>
      </c>
      <c r="B65" s="565" t="s">
        <v>395</v>
      </c>
      <c r="C65" s="565"/>
      <c r="D65" s="565"/>
      <c r="E65" s="565"/>
      <c r="F65" s="565"/>
      <c r="G65" s="565"/>
      <c r="H65" s="565"/>
      <c r="I65" s="566"/>
    </row>
    <row r="66" spans="1:9" ht="12" customHeight="1">
      <c r="A66" s="318"/>
      <c r="B66" s="117"/>
      <c r="D66" s="291"/>
      <c r="E66" s="122"/>
      <c r="F66" s="122"/>
      <c r="I66" s="320"/>
    </row>
    <row r="67" spans="1:9" ht="12" customHeight="1">
      <c r="A67" s="309" t="s">
        <v>396</v>
      </c>
      <c r="B67" s="288"/>
      <c r="C67" s="298"/>
      <c r="D67" s="325" t="s">
        <v>167</v>
      </c>
      <c r="E67" s="497">
        <f>E9</f>
        <v>0.35</v>
      </c>
      <c r="F67" s="325" t="s">
        <v>162</v>
      </c>
      <c r="G67" s="325" t="s">
        <v>353</v>
      </c>
      <c r="H67" s="325" t="s">
        <v>352</v>
      </c>
      <c r="I67" s="359" t="s">
        <v>354</v>
      </c>
    </row>
    <row r="68" spans="1:10" ht="12" customHeight="1">
      <c r="A68" s="311"/>
      <c r="B68" s="548"/>
      <c r="C68" s="301" t="s">
        <v>235</v>
      </c>
      <c r="D68" s="302">
        <v>108500</v>
      </c>
      <c r="E68" s="303">
        <f>D68*0.35</f>
        <v>37975</v>
      </c>
      <c r="F68" s="302">
        <f>SUM(D68:E68)</f>
        <v>146475</v>
      </c>
      <c r="G68" s="303">
        <f>F68</f>
        <v>146475</v>
      </c>
      <c r="H68" s="304"/>
      <c r="I68" s="312"/>
      <c r="J68" s="300"/>
    </row>
    <row r="69" spans="1:10" ht="12" customHeight="1">
      <c r="A69" s="311"/>
      <c r="B69" s="548"/>
      <c r="C69" s="301" t="s">
        <v>321</v>
      </c>
      <c r="D69" s="302">
        <v>85019</v>
      </c>
      <c r="E69" s="303">
        <f>D69*0.35</f>
        <v>29756.649999999998</v>
      </c>
      <c r="F69" s="302">
        <f>SUM(D69:E69)</f>
        <v>114775.65</v>
      </c>
      <c r="G69" s="303">
        <f>F69</f>
        <v>114775.65</v>
      </c>
      <c r="H69" s="304"/>
      <c r="I69" s="312"/>
      <c r="J69" s="300"/>
    </row>
    <row r="70" spans="1:9" ht="12.75" customHeight="1">
      <c r="A70" s="311"/>
      <c r="B70" s="549"/>
      <c r="C70" s="525" t="s">
        <v>200</v>
      </c>
      <c r="D70" s="302">
        <v>28400</v>
      </c>
      <c r="E70" s="303">
        <f>D70*0.35</f>
        <v>9940</v>
      </c>
      <c r="F70" s="302">
        <f>SUM(D70:E70)</f>
        <v>38340</v>
      </c>
      <c r="G70" s="302">
        <f>F70</f>
        <v>38340</v>
      </c>
      <c r="H70" s="505"/>
      <c r="I70" s="312"/>
    </row>
    <row r="71" spans="1:10" ht="12" customHeight="1">
      <c r="A71" s="311"/>
      <c r="B71" s="548"/>
      <c r="C71" s="301" t="s">
        <v>464</v>
      </c>
      <c r="D71" s="302">
        <v>48000</v>
      </c>
      <c r="E71" s="303">
        <f>D71*0.35</f>
        <v>16800</v>
      </c>
      <c r="F71" s="302">
        <f>SUM(D71:E71)</f>
        <v>64800</v>
      </c>
      <c r="G71" s="303">
        <f>F71</f>
        <v>64800</v>
      </c>
      <c r="H71" s="304"/>
      <c r="I71" s="312" t="s">
        <v>449</v>
      </c>
      <c r="J71" s="300"/>
    </row>
    <row r="72" spans="1:10" ht="12" customHeight="1">
      <c r="A72" s="316" t="s">
        <v>362</v>
      </c>
      <c r="B72" s="117"/>
      <c r="D72" s="292">
        <f>SUM(D68:D71)</f>
        <v>269919</v>
      </c>
      <c r="E72" s="292">
        <f>SUM(E68:E71)</f>
        <v>94471.65</v>
      </c>
      <c r="F72" s="292">
        <f>SUM(F68:F71)</f>
        <v>364390.65</v>
      </c>
      <c r="G72" s="292">
        <f>SUM(G68:G71)</f>
        <v>364390.65</v>
      </c>
      <c r="H72" s="292"/>
      <c r="I72" s="362"/>
      <c r="J72" s="331"/>
    </row>
    <row r="73" spans="1:9" ht="12" customHeight="1">
      <c r="A73" s="318"/>
      <c r="B73" s="117"/>
      <c r="D73" s="291"/>
      <c r="E73" s="122"/>
      <c r="F73" s="122"/>
      <c r="I73" s="320"/>
    </row>
    <row r="74" spans="1:9" ht="12" customHeight="1">
      <c r="A74" s="321" t="s">
        <v>359</v>
      </c>
      <c r="B74" s="117"/>
      <c r="D74" s="291"/>
      <c r="E74" s="122"/>
      <c r="F74" s="122"/>
      <c r="I74" s="320"/>
    </row>
    <row r="75" spans="1:9" ht="12" customHeight="1">
      <c r="A75" s="318"/>
      <c r="B75" s="301"/>
      <c r="C75" s="301"/>
      <c r="D75" s="302">
        <v>0</v>
      </c>
      <c r="E75" s="303">
        <f>D75*$E$67</f>
        <v>0</v>
      </c>
      <c r="F75" s="303">
        <f>SUM(D75:E75)</f>
        <v>0</v>
      </c>
      <c r="G75" s="302"/>
      <c r="H75" s="304"/>
      <c r="I75" s="322"/>
    </row>
    <row r="76" spans="1:9" ht="12" customHeight="1">
      <c r="A76" s="318"/>
      <c r="B76" s="301"/>
      <c r="C76" s="301"/>
      <c r="D76" s="302">
        <v>0</v>
      </c>
      <c r="E76" s="303">
        <f>D76*$E$67</f>
        <v>0</v>
      </c>
      <c r="F76" s="303">
        <f>SUM(D76:E76)</f>
        <v>0</v>
      </c>
      <c r="G76" s="302"/>
      <c r="H76" s="304"/>
      <c r="I76" s="322"/>
    </row>
    <row r="77" spans="1:10" s="385" customFormat="1" ht="16.5" customHeight="1">
      <c r="A77" s="316" t="s">
        <v>362</v>
      </c>
      <c r="B77" s="117"/>
      <c r="C77" s="117"/>
      <c r="D77" s="292">
        <f aca="true" t="shared" si="7" ref="D77:I77">SUM(D75:D76)</f>
        <v>0</v>
      </c>
      <c r="E77" s="292">
        <f t="shared" si="7"/>
        <v>0</v>
      </c>
      <c r="F77" s="292">
        <f t="shared" si="7"/>
        <v>0</v>
      </c>
      <c r="G77" s="292">
        <f t="shared" si="7"/>
        <v>0</v>
      </c>
      <c r="H77" s="292">
        <f t="shared" si="7"/>
        <v>0</v>
      </c>
      <c r="I77" s="362">
        <f t="shared" si="7"/>
        <v>0</v>
      </c>
      <c r="J77" s="116"/>
    </row>
    <row r="78" spans="1:10" s="385" customFormat="1" ht="16.5" customHeight="1">
      <c r="A78" s="318"/>
      <c r="B78" s="117"/>
      <c r="C78" s="117"/>
      <c r="D78" s="291"/>
      <c r="E78" s="122"/>
      <c r="F78" s="122"/>
      <c r="G78" s="116"/>
      <c r="H78" s="116"/>
      <c r="I78" s="320"/>
      <c r="J78" s="116"/>
    </row>
    <row r="79" spans="1:10" s="385" customFormat="1" ht="17.25" customHeight="1">
      <c r="A79" s="368">
        <v>2400</v>
      </c>
      <c r="B79" s="369" t="s">
        <v>162</v>
      </c>
      <c r="C79" s="370"/>
      <c r="D79" s="371">
        <f aca="true" t="shared" si="8" ref="D79:I79">D77+D72</f>
        <v>269919</v>
      </c>
      <c r="E79" s="371">
        <f t="shared" si="8"/>
        <v>94471.65</v>
      </c>
      <c r="F79" s="371">
        <f t="shared" si="8"/>
        <v>364390.65</v>
      </c>
      <c r="G79" s="371">
        <f t="shared" si="8"/>
        <v>364390.65</v>
      </c>
      <c r="H79" s="371">
        <f t="shared" si="8"/>
        <v>0</v>
      </c>
      <c r="I79" s="372">
        <f t="shared" si="8"/>
        <v>0</v>
      </c>
      <c r="J79" s="331">
        <f>SUM(G79:H79)</f>
        <v>364390.65</v>
      </c>
    </row>
    <row r="80" spans="1:10" s="385" customFormat="1" ht="12" customHeight="1">
      <c r="A80" s="346"/>
      <c r="B80" s="346"/>
      <c r="C80" s="347"/>
      <c r="D80" s="348"/>
      <c r="E80" s="348"/>
      <c r="F80" s="348"/>
      <c r="G80" s="348"/>
      <c r="H80" s="348"/>
      <c r="I80" s="348"/>
      <c r="J80" s="331"/>
    </row>
    <row r="81" spans="1:10" ht="14.25" customHeight="1">
      <c r="A81" s="351">
        <v>2500</v>
      </c>
      <c r="B81" s="567" t="s">
        <v>72</v>
      </c>
      <c r="C81" s="567"/>
      <c r="D81" s="567"/>
      <c r="E81" s="567"/>
      <c r="F81" s="567"/>
      <c r="G81" s="567"/>
      <c r="H81" s="567"/>
      <c r="I81" s="568"/>
      <c r="J81" s="331"/>
    </row>
    <row r="82" spans="1:10" ht="12" customHeight="1">
      <c r="A82" s="309"/>
      <c r="B82" s="289"/>
      <c r="C82" s="290"/>
      <c r="D82" s="350"/>
      <c r="E82" s="350"/>
      <c r="F82" s="350"/>
      <c r="G82" s="350"/>
      <c r="H82" s="350"/>
      <c r="I82" s="373"/>
      <c r="J82" s="331"/>
    </row>
    <row r="83" spans="1:9" ht="12" customHeight="1">
      <c r="A83" s="309" t="s">
        <v>394</v>
      </c>
      <c r="B83" s="288"/>
      <c r="C83" s="298"/>
      <c r="D83" s="325" t="s">
        <v>167</v>
      </c>
      <c r="E83" s="497">
        <f>E9</f>
        <v>0.35</v>
      </c>
      <c r="F83" s="325" t="s">
        <v>162</v>
      </c>
      <c r="G83" s="325" t="s">
        <v>353</v>
      </c>
      <c r="H83" s="325" t="s">
        <v>352</v>
      </c>
      <c r="I83" s="359" t="s">
        <v>354</v>
      </c>
    </row>
    <row r="84" spans="1:9" ht="12" customHeight="1">
      <c r="A84" s="311"/>
      <c r="B84" s="304"/>
      <c r="C84" s="304"/>
      <c r="D84" s="505"/>
      <c r="E84" s="505"/>
      <c r="F84" s="505"/>
      <c r="G84" s="505"/>
      <c r="H84" s="505"/>
      <c r="I84" s="508"/>
    </row>
    <row r="85" spans="1:9" ht="12" customHeight="1">
      <c r="A85" s="311"/>
      <c r="B85" s="304"/>
      <c r="C85" s="304"/>
      <c r="D85" s="505"/>
      <c r="E85" s="505"/>
      <c r="F85" s="505"/>
      <c r="G85" s="505"/>
      <c r="H85" s="505"/>
      <c r="I85" s="508"/>
    </row>
    <row r="86" spans="1:9" ht="12" customHeight="1">
      <c r="A86" s="311"/>
      <c r="B86" s="304"/>
      <c r="C86" s="304"/>
      <c r="D86" s="505"/>
      <c r="E86" s="505"/>
      <c r="F86" s="505"/>
      <c r="G86" s="505"/>
      <c r="H86" s="505"/>
      <c r="I86" s="508"/>
    </row>
    <row r="87" spans="1:10" s="385" customFormat="1" ht="12" customHeight="1">
      <c r="A87" s="316" t="s">
        <v>362</v>
      </c>
      <c r="B87" s="117"/>
      <c r="C87" s="117"/>
      <c r="D87" s="292">
        <f aca="true" t="shared" si="9" ref="D87:I87">SUM(D84:D86)</f>
        <v>0</v>
      </c>
      <c r="E87" s="292">
        <f t="shared" si="9"/>
        <v>0</v>
      </c>
      <c r="F87" s="292">
        <f t="shared" si="9"/>
        <v>0</v>
      </c>
      <c r="G87" s="292">
        <f t="shared" si="9"/>
        <v>0</v>
      </c>
      <c r="H87" s="292">
        <f t="shared" si="9"/>
        <v>0</v>
      </c>
      <c r="I87" s="362">
        <f t="shared" si="9"/>
        <v>0</v>
      </c>
      <c r="J87" s="331"/>
    </row>
    <row r="88" spans="1:10" ht="12.75" customHeight="1">
      <c r="A88" s="309"/>
      <c r="B88" s="289"/>
      <c r="C88" s="290"/>
      <c r="D88" s="350"/>
      <c r="E88" s="350"/>
      <c r="F88" s="350"/>
      <c r="G88" s="350"/>
      <c r="H88" s="350"/>
      <c r="I88" s="373"/>
      <c r="J88" s="331"/>
    </row>
    <row r="89" spans="1:10" ht="12.75" customHeight="1">
      <c r="A89" s="321" t="s">
        <v>359</v>
      </c>
      <c r="B89" s="289"/>
      <c r="C89" s="290"/>
      <c r="D89" s="350"/>
      <c r="E89" s="350"/>
      <c r="F89" s="350"/>
      <c r="G89" s="350"/>
      <c r="H89" s="350"/>
      <c r="I89" s="373"/>
      <c r="J89" s="331"/>
    </row>
    <row r="90" spans="1:9" ht="12.75" customHeight="1">
      <c r="A90" s="311"/>
      <c r="B90" s="304"/>
      <c r="C90" s="301"/>
      <c r="D90" s="302"/>
      <c r="E90" s="303"/>
      <c r="F90" s="302"/>
      <c r="G90" s="302"/>
      <c r="H90" s="302"/>
      <c r="I90" s="312"/>
    </row>
    <row r="91" spans="1:9" ht="12.75" customHeight="1">
      <c r="A91" s="311"/>
      <c r="B91" s="304"/>
      <c r="C91" s="301"/>
      <c r="D91" s="302"/>
      <c r="E91" s="303"/>
      <c r="F91" s="302"/>
      <c r="G91" s="302"/>
      <c r="H91" s="302"/>
      <c r="I91" s="312"/>
    </row>
    <row r="92" spans="1:9" ht="12.75" customHeight="1">
      <c r="A92" s="311"/>
      <c r="B92" s="304"/>
      <c r="C92" s="301"/>
      <c r="D92" s="302"/>
      <c r="E92" s="303"/>
      <c r="F92" s="302"/>
      <c r="G92" s="302"/>
      <c r="H92" s="302"/>
      <c r="I92" s="312"/>
    </row>
    <row r="93" spans="1:9" ht="12.75" customHeight="1">
      <c r="A93" s="311"/>
      <c r="B93" s="304"/>
      <c r="C93" s="301"/>
      <c r="D93" s="302"/>
      <c r="E93" s="303"/>
      <c r="F93" s="302"/>
      <c r="G93" s="302"/>
      <c r="H93" s="302"/>
      <c r="I93" s="312"/>
    </row>
    <row r="94" spans="1:9" ht="12.75" customHeight="1">
      <c r="A94" s="316" t="s">
        <v>362</v>
      </c>
      <c r="B94" s="117"/>
      <c r="D94" s="292">
        <f aca="true" t="shared" si="10" ref="D94:I94">SUM(D90:D93)</f>
        <v>0</v>
      </c>
      <c r="E94" s="292">
        <f t="shared" si="10"/>
        <v>0</v>
      </c>
      <c r="F94" s="292">
        <f t="shared" si="10"/>
        <v>0</v>
      </c>
      <c r="G94" s="292">
        <f t="shared" si="10"/>
        <v>0</v>
      </c>
      <c r="H94" s="292">
        <f t="shared" si="10"/>
        <v>0</v>
      </c>
      <c r="I94" s="362">
        <f t="shared" si="10"/>
        <v>0</v>
      </c>
    </row>
    <row r="95" spans="1:9" ht="12.75" customHeight="1">
      <c r="A95" s="311"/>
      <c r="I95" s="315"/>
    </row>
    <row r="96" spans="1:10" ht="12.75" customHeight="1">
      <c r="A96" s="374">
        <v>2500</v>
      </c>
      <c r="B96" s="375" t="s">
        <v>162</v>
      </c>
      <c r="C96" s="376"/>
      <c r="D96" s="377">
        <f aca="true" t="shared" si="11" ref="D96:I96">D94+D87</f>
        <v>0</v>
      </c>
      <c r="E96" s="377">
        <f t="shared" si="11"/>
        <v>0</v>
      </c>
      <c r="F96" s="377">
        <f t="shared" si="11"/>
        <v>0</v>
      </c>
      <c r="G96" s="377">
        <f t="shared" si="11"/>
        <v>0</v>
      </c>
      <c r="H96" s="377">
        <f t="shared" si="11"/>
        <v>0</v>
      </c>
      <c r="I96" s="378">
        <f t="shared" si="11"/>
        <v>0</v>
      </c>
      <c r="J96" s="331">
        <f>SUM(G96:H96)</f>
        <v>0</v>
      </c>
    </row>
    <row r="97" ht="16.5" customHeight="1"/>
    <row r="99" spans="1:10" ht="16.5" customHeight="1">
      <c r="A99" s="353">
        <v>2600</v>
      </c>
      <c r="B99" s="569" t="s">
        <v>75</v>
      </c>
      <c r="C99" s="569"/>
      <c r="D99" s="569"/>
      <c r="E99" s="569"/>
      <c r="F99" s="569"/>
      <c r="G99" s="569"/>
      <c r="H99" s="569"/>
      <c r="I99" s="570"/>
      <c r="J99" s="331"/>
    </row>
    <row r="100" spans="1:10" ht="12.75" customHeight="1">
      <c r="A100" s="309"/>
      <c r="B100" s="289"/>
      <c r="C100" s="290"/>
      <c r="D100" s="350"/>
      <c r="E100" s="350"/>
      <c r="F100" s="350"/>
      <c r="G100" s="350"/>
      <c r="H100" s="350"/>
      <c r="I100" s="373"/>
      <c r="J100" s="331"/>
    </row>
    <row r="101" spans="1:9" ht="12.75" customHeight="1">
      <c r="A101" s="309" t="s">
        <v>394</v>
      </c>
      <c r="B101" s="288"/>
      <c r="C101" s="298"/>
      <c r="D101" s="325" t="s">
        <v>167</v>
      </c>
      <c r="E101" s="497">
        <f>E9</f>
        <v>0.35</v>
      </c>
      <c r="F101" s="325" t="s">
        <v>162</v>
      </c>
      <c r="G101" s="325" t="s">
        <v>353</v>
      </c>
      <c r="H101" s="325" t="s">
        <v>352</v>
      </c>
      <c r="I101" s="359" t="s">
        <v>354</v>
      </c>
    </row>
    <row r="102" spans="1:9" ht="12.75" customHeight="1">
      <c r="A102" s="311"/>
      <c r="B102" s="301"/>
      <c r="C102" s="301"/>
      <c r="D102" s="302">
        <v>0</v>
      </c>
      <c r="E102" s="302">
        <f>D102*$E$101</f>
        <v>0</v>
      </c>
      <c r="F102" s="302">
        <v>0</v>
      </c>
      <c r="G102" s="302">
        <v>0</v>
      </c>
      <c r="H102" s="302">
        <v>0</v>
      </c>
      <c r="I102" s="312"/>
    </row>
    <row r="103" spans="1:9" ht="12.75" customHeight="1">
      <c r="A103" s="311"/>
      <c r="B103" s="301"/>
      <c r="C103" s="301"/>
      <c r="D103" s="302">
        <v>0</v>
      </c>
      <c r="E103" s="302">
        <f>D103*$E$101</f>
        <v>0</v>
      </c>
      <c r="F103" s="302">
        <v>0</v>
      </c>
      <c r="G103" s="302">
        <v>0</v>
      </c>
      <c r="H103" s="302">
        <v>0</v>
      </c>
      <c r="I103" s="312"/>
    </row>
    <row r="104" spans="1:10" ht="12.75" customHeight="1">
      <c r="A104" s="316" t="s">
        <v>362</v>
      </c>
      <c r="B104" s="117"/>
      <c r="D104" s="292">
        <f aca="true" t="shared" si="12" ref="D104:I104">SUM(D102:D103)</f>
        <v>0</v>
      </c>
      <c r="E104" s="292">
        <f t="shared" si="12"/>
        <v>0</v>
      </c>
      <c r="F104" s="292">
        <f t="shared" si="12"/>
        <v>0</v>
      </c>
      <c r="G104" s="292">
        <f t="shared" si="12"/>
        <v>0</v>
      </c>
      <c r="H104" s="292">
        <f t="shared" si="12"/>
        <v>0</v>
      </c>
      <c r="I104" s="362">
        <f t="shared" si="12"/>
        <v>0</v>
      </c>
      <c r="J104" s="331"/>
    </row>
    <row r="105" spans="1:10" ht="12.75" customHeight="1">
      <c r="A105" s="309"/>
      <c r="B105" s="289"/>
      <c r="C105" s="290"/>
      <c r="D105" s="350"/>
      <c r="E105" s="350"/>
      <c r="F105" s="350"/>
      <c r="G105" s="350"/>
      <c r="H105" s="350"/>
      <c r="I105" s="373"/>
      <c r="J105" s="331"/>
    </row>
    <row r="106" spans="1:10" ht="12.75" customHeight="1">
      <c r="A106" s="321" t="s">
        <v>359</v>
      </c>
      <c r="B106" s="289"/>
      <c r="C106" s="290"/>
      <c r="D106" s="350"/>
      <c r="E106" s="350"/>
      <c r="F106" s="350"/>
      <c r="G106" s="350"/>
      <c r="H106" s="350"/>
      <c r="I106" s="373"/>
      <c r="J106" s="331"/>
    </row>
    <row r="107" spans="1:9" ht="12.75" customHeight="1">
      <c r="A107" s="311"/>
      <c r="B107" s="308"/>
      <c r="C107" s="305" t="s">
        <v>366</v>
      </c>
      <c r="D107" s="306">
        <v>0</v>
      </c>
      <c r="E107" s="306">
        <v>0</v>
      </c>
      <c r="F107" s="306">
        <v>0</v>
      </c>
      <c r="G107" s="306">
        <f>D157</f>
        <v>911100</v>
      </c>
      <c r="H107" s="306">
        <v>0</v>
      </c>
      <c r="I107" s="317"/>
    </row>
    <row r="108" spans="1:9" ht="12.75" customHeight="1">
      <c r="A108" s="316" t="s">
        <v>362</v>
      </c>
      <c r="B108" s="117"/>
      <c r="D108" s="292">
        <f aca="true" t="shared" si="13" ref="D108:I108">SUM(D107:D107)</f>
        <v>0</v>
      </c>
      <c r="E108" s="292">
        <f t="shared" si="13"/>
        <v>0</v>
      </c>
      <c r="F108" s="292">
        <f t="shared" si="13"/>
        <v>0</v>
      </c>
      <c r="G108" s="292">
        <f t="shared" si="13"/>
        <v>911100</v>
      </c>
      <c r="H108" s="292">
        <f t="shared" si="13"/>
        <v>0</v>
      </c>
      <c r="I108" s="362">
        <f t="shared" si="13"/>
        <v>0</v>
      </c>
    </row>
    <row r="109" spans="1:9" ht="12.75" customHeight="1">
      <c r="A109" s="311"/>
      <c r="I109" s="315"/>
    </row>
    <row r="110" spans="1:10" ht="12.75" customHeight="1">
      <c r="A110" s="379">
        <v>2600</v>
      </c>
      <c r="B110" s="380" t="s">
        <v>162</v>
      </c>
      <c r="C110" s="381"/>
      <c r="D110" s="382">
        <f aca="true" t="shared" si="14" ref="D110:I110">D108+D104</f>
        <v>0</v>
      </c>
      <c r="E110" s="382">
        <f t="shared" si="14"/>
        <v>0</v>
      </c>
      <c r="F110" s="382">
        <f t="shared" si="14"/>
        <v>0</v>
      </c>
      <c r="G110" s="382">
        <f t="shared" si="14"/>
        <v>911100</v>
      </c>
      <c r="H110" s="382">
        <f t="shared" si="14"/>
        <v>0</v>
      </c>
      <c r="I110" s="383">
        <f t="shared" si="14"/>
        <v>0</v>
      </c>
      <c r="J110" s="331">
        <f>SUM(G110:H110)</f>
        <v>911100</v>
      </c>
    </row>
    <row r="111" ht="16.5" customHeight="1"/>
    <row r="113" spans="1:10" ht="16.5" customHeight="1">
      <c r="A113" s="435">
        <v>2700</v>
      </c>
      <c r="B113" s="575" t="s">
        <v>78</v>
      </c>
      <c r="C113" s="575"/>
      <c r="D113" s="575"/>
      <c r="E113" s="575"/>
      <c r="F113" s="575"/>
      <c r="G113" s="575"/>
      <c r="H113" s="575"/>
      <c r="I113" s="576"/>
      <c r="J113" s="331"/>
    </row>
    <row r="114" spans="1:10" ht="12.75" customHeight="1">
      <c r="A114" s="309"/>
      <c r="B114" s="289"/>
      <c r="C114" s="290"/>
      <c r="D114" s="350"/>
      <c r="E114" s="350"/>
      <c r="F114" s="350"/>
      <c r="G114" s="350"/>
      <c r="H114" s="350"/>
      <c r="I114" s="373"/>
      <c r="J114" s="331"/>
    </row>
    <row r="115" spans="1:9" ht="12.75" customHeight="1">
      <c r="A115" s="309" t="s">
        <v>394</v>
      </c>
      <c r="B115" s="288"/>
      <c r="C115" s="298"/>
      <c r="D115" s="325" t="s">
        <v>167</v>
      </c>
      <c r="E115" s="497">
        <f>E9</f>
        <v>0.35</v>
      </c>
      <c r="F115" s="325" t="s">
        <v>162</v>
      </c>
      <c r="G115" s="325" t="s">
        <v>353</v>
      </c>
      <c r="H115" s="325" t="s">
        <v>352</v>
      </c>
      <c r="I115" s="359" t="s">
        <v>354</v>
      </c>
    </row>
    <row r="116" spans="1:9" ht="12.75" customHeight="1">
      <c r="A116" s="311"/>
      <c r="B116" s="301"/>
      <c r="C116" s="301"/>
      <c r="D116" s="302">
        <v>0</v>
      </c>
      <c r="E116" s="302">
        <f>D116*$E$115</f>
        <v>0</v>
      </c>
      <c r="F116" s="302">
        <v>0</v>
      </c>
      <c r="G116" s="302">
        <v>0</v>
      </c>
      <c r="H116" s="302">
        <v>0</v>
      </c>
      <c r="I116" s="312"/>
    </row>
    <row r="117" spans="1:9" ht="12.75" customHeight="1">
      <c r="A117" s="311"/>
      <c r="B117" s="301"/>
      <c r="C117" s="301"/>
      <c r="D117" s="302">
        <v>0</v>
      </c>
      <c r="E117" s="302">
        <f>D117*$E$115</f>
        <v>0</v>
      </c>
      <c r="F117" s="302">
        <v>0</v>
      </c>
      <c r="G117" s="302">
        <v>0</v>
      </c>
      <c r="H117" s="302">
        <v>0</v>
      </c>
      <c r="I117" s="312"/>
    </row>
    <row r="118" spans="1:10" ht="12.75" customHeight="1">
      <c r="A118" s="316" t="s">
        <v>362</v>
      </c>
      <c r="B118" s="117"/>
      <c r="D118" s="292">
        <f aca="true" t="shared" si="15" ref="D118:I118">SUM(D116:D117)</f>
        <v>0</v>
      </c>
      <c r="E118" s="292">
        <f t="shared" si="15"/>
        <v>0</v>
      </c>
      <c r="F118" s="292">
        <f t="shared" si="15"/>
        <v>0</v>
      </c>
      <c r="G118" s="292">
        <f t="shared" si="15"/>
        <v>0</v>
      </c>
      <c r="H118" s="292">
        <f t="shared" si="15"/>
        <v>0</v>
      </c>
      <c r="I118" s="362">
        <f t="shared" si="15"/>
        <v>0</v>
      </c>
      <c r="J118" s="331"/>
    </row>
    <row r="119" spans="1:10" ht="12.75" customHeight="1">
      <c r="A119" s="309"/>
      <c r="B119" s="289"/>
      <c r="C119" s="290"/>
      <c r="D119" s="350"/>
      <c r="E119" s="350"/>
      <c r="F119" s="350"/>
      <c r="G119" s="350"/>
      <c r="H119" s="350"/>
      <c r="I119" s="373"/>
      <c r="J119" s="331"/>
    </row>
    <row r="120" spans="1:10" ht="12.75" customHeight="1">
      <c r="A120" s="321" t="s">
        <v>359</v>
      </c>
      <c r="B120" s="289"/>
      <c r="C120" s="290"/>
      <c r="D120" s="350"/>
      <c r="E120" s="350"/>
      <c r="F120" s="350"/>
      <c r="G120" s="350"/>
      <c r="H120" s="350"/>
      <c r="I120" s="373"/>
      <c r="J120" s="331"/>
    </row>
    <row r="121" spans="1:9" ht="12.75" customHeight="1">
      <c r="A121" s="311"/>
      <c r="B121" s="308"/>
      <c r="C121" s="305" t="s">
        <v>366</v>
      </c>
      <c r="D121" s="306">
        <v>0</v>
      </c>
      <c r="E121" s="306">
        <v>0</v>
      </c>
      <c r="F121" s="306">
        <v>0</v>
      </c>
      <c r="G121" s="306">
        <f>C168</f>
        <v>300000</v>
      </c>
      <c r="H121" s="306">
        <v>0</v>
      </c>
      <c r="I121" s="317"/>
    </row>
    <row r="122" spans="1:9" ht="12.75" customHeight="1">
      <c r="A122" s="316" t="s">
        <v>362</v>
      </c>
      <c r="B122" s="117"/>
      <c r="D122" s="292">
        <f aca="true" t="shared" si="16" ref="D122:I122">SUM(D121:D121)</f>
        <v>0</v>
      </c>
      <c r="E122" s="292">
        <f t="shared" si="16"/>
        <v>0</v>
      </c>
      <c r="F122" s="292">
        <f t="shared" si="16"/>
        <v>0</v>
      </c>
      <c r="G122" s="292">
        <f t="shared" si="16"/>
        <v>300000</v>
      </c>
      <c r="H122" s="292">
        <f t="shared" si="16"/>
        <v>0</v>
      </c>
      <c r="I122" s="362">
        <f t="shared" si="16"/>
        <v>0</v>
      </c>
    </row>
    <row r="123" spans="1:9" ht="12.75" customHeight="1">
      <c r="A123" s="311"/>
      <c r="I123" s="315"/>
    </row>
    <row r="124" spans="1:10" ht="12.75" customHeight="1">
      <c r="A124" s="436">
        <v>2700</v>
      </c>
      <c r="B124" s="437" t="s">
        <v>162</v>
      </c>
      <c r="C124" s="438"/>
      <c r="D124" s="439">
        <f aca="true" t="shared" si="17" ref="D124:I124">D122+D118</f>
        <v>0</v>
      </c>
      <c r="E124" s="439">
        <f t="shared" si="17"/>
        <v>0</v>
      </c>
      <c r="F124" s="439">
        <f t="shared" si="17"/>
        <v>0</v>
      </c>
      <c r="G124" s="439">
        <f>G122+G118</f>
        <v>300000</v>
      </c>
      <c r="H124" s="439">
        <f t="shared" si="17"/>
        <v>0</v>
      </c>
      <c r="I124" s="440">
        <f t="shared" si="17"/>
        <v>0</v>
      </c>
      <c r="J124" s="331">
        <f>SUM(G124:H124)</f>
        <v>300000</v>
      </c>
    </row>
    <row r="125" ht="16.5" customHeight="1"/>
    <row r="127" spans="1:10" ht="18.75" customHeight="1">
      <c r="A127" s="441">
        <v>2800</v>
      </c>
      <c r="B127" s="577" t="s">
        <v>81</v>
      </c>
      <c r="C127" s="577"/>
      <c r="D127" s="577"/>
      <c r="E127" s="577"/>
      <c r="F127" s="577"/>
      <c r="G127" s="577"/>
      <c r="H127" s="577"/>
      <c r="I127" s="578"/>
      <c r="J127" s="331"/>
    </row>
    <row r="128" spans="1:10" ht="12.75" customHeight="1">
      <c r="A128" s="309"/>
      <c r="B128" s="289"/>
      <c r="C128" s="290"/>
      <c r="D128" s="350"/>
      <c r="E128" s="350"/>
      <c r="F128" s="350"/>
      <c r="G128" s="350"/>
      <c r="H128" s="350"/>
      <c r="I128" s="373"/>
      <c r="J128" s="331"/>
    </row>
    <row r="129" spans="1:9" ht="12.75" customHeight="1">
      <c r="A129" s="309" t="s">
        <v>394</v>
      </c>
      <c r="B129" s="288"/>
      <c r="C129" s="298"/>
      <c r="D129" s="325" t="s">
        <v>167</v>
      </c>
      <c r="E129" s="497">
        <f>E9</f>
        <v>0.35</v>
      </c>
      <c r="F129" s="325" t="s">
        <v>162</v>
      </c>
      <c r="G129" s="325" t="s">
        <v>353</v>
      </c>
      <c r="H129" s="325" t="s">
        <v>352</v>
      </c>
      <c r="I129" s="359" t="s">
        <v>354</v>
      </c>
    </row>
    <row r="130" spans="1:9" ht="12.75" customHeight="1">
      <c r="A130" s="311"/>
      <c r="B130" s="301"/>
      <c r="C130" s="301"/>
      <c r="D130" s="302">
        <v>0</v>
      </c>
      <c r="E130" s="302">
        <f>D130*$E$129</f>
        <v>0</v>
      </c>
      <c r="F130" s="302">
        <v>0</v>
      </c>
      <c r="G130" s="302">
        <v>0</v>
      </c>
      <c r="H130" s="302">
        <v>0</v>
      </c>
      <c r="I130" s="312"/>
    </row>
    <row r="131" spans="1:9" ht="12.75" customHeight="1">
      <c r="A131" s="311"/>
      <c r="B131" s="301"/>
      <c r="C131" s="301"/>
      <c r="D131" s="302">
        <v>0</v>
      </c>
      <c r="E131" s="302">
        <f>D131*$E$129</f>
        <v>0</v>
      </c>
      <c r="F131" s="302">
        <v>0</v>
      </c>
      <c r="G131" s="302">
        <v>0</v>
      </c>
      <c r="H131" s="302">
        <v>0</v>
      </c>
      <c r="I131" s="312"/>
    </row>
    <row r="132" spans="1:10" ht="12.75" customHeight="1">
      <c r="A132" s="316" t="s">
        <v>362</v>
      </c>
      <c r="B132" s="117"/>
      <c r="D132" s="292">
        <f aca="true" t="shared" si="18" ref="D132:I132">SUM(D130:D131)</f>
        <v>0</v>
      </c>
      <c r="E132" s="292">
        <f t="shared" si="18"/>
        <v>0</v>
      </c>
      <c r="F132" s="292">
        <f t="shared" si="18"/>
        <v>0</v>
      </c>
      <c r="G132" s="292">
        <f t="shared" si="18"/>
        <v>0</v>
      </c>
      <c r="H132" s="292">
        <f t="shared" si="18"/>
        <v>0</v>
      </c>
      <c r="I132" s="362">
        <f t="shared" si="18"/>
        <v>0</v>
      </c>
      <c r="J132" s="331"/>
    </row>
    <row r="133" spans="1:10" ht="12.75" customHeight="1">
      <c r="A133" s="309"/>
      <c r="B133" s="289"/>
      <c r="C133" s="290"/>
      <c r="D133" s="350"/>
      <c r="E133" s="350"/>
      <c r="F133" s="350"/>
      <c r="G133" s="350"/>
      <c r="H133" s="350"/>
      <c r="I133" s="373"/>
      <c r="J133" s="331"/>
    </row>
    <row r="134" spans="1:10" ht="12.75" customHeight="1">
      <c r="A134" s="321" t="s">
        <v>359</v>
      </c>
      <c r="B134" s="289"/>
      <c r="C134" s="290"/>
      <c r="D134" s="350"/>
      <c r="E134" s="350"/>
      <c r="F134" s="350"/>
      <c r="G134" s="350"/>
      <c r="H134" s="350"/>
      <c r="I134" s="373"/>
      <c r="J134" s="331"/>
    </row>
    <row r="135" spans="1:9" ht="12.75" customHeight="1">
      <c r="A135" s="311"/>
      <c r="B135" s="308"/>
      <c r="C135" s="305" t="s">
        <v>366</v>
      </c>
      <c r="D135" s="306">
        <v>0</v>
      </c>
      <c r="E135" s="306">
        <v>0</v>
      </c>
      <c r="F135" s="306">
        <v>0</v>
      </c>
      <c r="G135" s="306">
        <f>C178</f>
        <v>0</v>
      </c>
      <c r="H135" s="306">
        <v>0</v>
      </c>
      <c r="I135" s="317"/>
    </row>
    <row r="136" spans="1:9" ht="12.75" customHeight="1">
      <c r="A136" s="316" t="s">
        <v>362</v>
      </c>
      <c r="B136" s="117"/>
      <c r="D136" s="292">
        <f aca="true" t="shared" si="19" ref="D136:I136">SUM(D135:D135)</f>
        <v>0</v>
      </c>
      <c r="E136" s="292">
        <f t="shared" si="19"/>
        <v>0</v>
      </c>
      <c r="F136" s="292">
        <f t="shared" si="19"/>
        <v>0</v>
      </c>
      <c r="G136" s="292">
        <f t="shared" si="19"/>
        <v>0</v>
      </c>
      <c r="H136" s="292">
        <f t="shared" si="19"/>
        <v>0</v>
      </c>
      <c r="I136" s="362">
        <f t="shared" si="19"/>
        <v>0</v>
      </c>
    </row>
    <row r="137" spans="1:9" ht="12.75" customHeight="1">
      <c r="A137" s="311"/>
      <c r="I137" s="315"/>
    </row>
    <row r="138" spans="1:10" ht="12.75" customHeight="1">
      <c r="A138" s="442">
        <v>2800</v>
      </c>
      <c r="B138" s="443" t="s">
        <v>162</v>
      </c>
      <c r="C138" s="444"/>
      <c r="D138" s="445">
        <f aca="true" t="shared" si="20" ref="D138:I138">D136+D132</f>
        <v>0</v>
      </c>
      <c r="E138" s="445">
        <f t="shared" si="20"/>
        <v>0</v>
      </c>
      <c r="F138" s="445">
        <f t="shared" si="20"/>
        <v>0</v>
      </c>
      <c r="G138" s="445">
        <f t="shared" si="20"/>
        <v>0</v>
      </c>
      <c r="H138" s="445">
        <f t="shared" si="20"/>
        <v>0</v>
      </c>
      <c r="I138" s="446">
        <f t="shared" si="20"/>
        <v>0</v>
      </c>
      <c r="J138" s="331">
        <f>SUM(G138:H138)</f>
        <v>0</v>
      </c>
    </row>
    <row r="139" ht="15.75" customHeight="1"/>
    <row r="141" spans="1:2" ht="12.75" customHeight="1">
      <c r="A141" s="388" t="s">
        <v>367</v>
      </c>
      <c r="B141" s="354"/>
    </row>
    <row r="142" ht="12.75" customHeight="1">
      <c r="B142" s="355"/>
    </row>
    <row r="143" spans="1:8" ht="12.75" customHeight="1">
      <c r="A143" s="300"/>
      <c r="B143" s="300"/>
      <c r="C143" s="355"/>
      <c r="D143" s="300"/>
      <c r="E143" s="300"/>
      <c r="F143" s="300"/>
      <c r="G143" s="300"/>
      <c r="H143" s="300"/>
    </row>
    <row r="144" spans="1:4" ht="12.75" customHeight="1">
      <c r="A144" s="429"/>
      <c r="B144" s="384" t="s">
        <v>397</v>
      </c>
      <c r="C144" s="294"/>
      <c r="D144" s="357"/>
    </row>
    <row r="145" spans="1:4" ht="12.75" customHeight="1">
      <c r="A145" s="116">
        <v>12</v>
      </c>
      <c r="B145" s="416" t="s">
        <v>398</v>
      </c>
      <c r="C145" s="304" t="s">
        <v>241</v>
      </c>
      <c r="D145" s="508">
        <v>240000</v>
      </c>
    </row>
    <row r="146" spans="1:4" ht="12.75" customHeight="1">
      <c r="A146" s="116">
        <v>12</v>
      </c>
      <c r="B146" s="416" t="s">
        <v>398</v>
      </c>
      <c r="C146" s="304" t="s">
        <v>243</v>
      </c>
      <c r="D146" s="508">
        <v>80000</v>
      </c>
    </row>
    <row r="147" spans="1:4" ht="12.75" customHeight="1">
      <c r="A147" s="116">
        <v>12</v>
      </c>
      <c r="B147" s="416" t="s">
        <v>398</v>
      </c>
      <c r="C147" s="304" t="s">
        <v>245</v>
      </c>
      <c r="D147" s="508">
        <v>5000</v>
      </c>
    </row>
    <row r="148" spans="1:4" ht="12.75" customHeight="1">
      <c r="A148" s="116">
        <v>12</v>
      </c>
      <c r="B148" s="416" t="s">
        <v>398</v>
      </c>
      <c r="C148" s="304" t="s">
        <v>247</v>
      </c>
      <c r="D148" s="508">
        <v>270000</v>
      </c>
    </row>
    <row r="149" spans="1:4" ht="12.75" customHeight="1">
      <c r="A149" s="116">
        <v>12</v>
      </c>
      <c r="B149" s="416" t="s">
        <v>465</v>
      </c>
      <c r="C149" s="304" t="s">
        <v>248</v>
      </c>
      <c r="D149" s="508">
        <v>10000</v>
      </c>
    </row>
    <row r="150" spans="1:4" ht="12.75" customHeight="1">
      <c r="A150" s="116">
        <v>12</v>
      </c>
      <c r="B150" s="416" t="s">
        <v>402</v>
      </c>
      <c r="C150" s="304" t="s">
        <v>466</v>
      </c>
      <c r="D150" s="508">
        <v>7500</v>
      </c>
    </row>
    <row r="151" spans="1:4" ht="12.75" customHeight="1">
      <c r="A151" s="116">
        <v>12</v>
      </c>
      <c r="B151" s="416" t="s">
        <v>403</v>
      </c>
      <c r="C151" s="304" t="s">
        <v>252</v>
      </c>
      <c r="D151" s="508">
        <v>9600</v>
      </c>
    </row>
    <row r="152" spans="1:4" ht="12.75" customHeight="1">
      <c r="A152" s="116">
        <v>12</v>
      </c>
      <c r="B152" s="416" t="s">
        <v>398</v>
      </c>
      <c r="C152" s="304" t="s">
        <v>253</v>
      </c>
      <c r="D152" s="508">
        <v>10000</v>
      </c>
    </row>
    <row r="153" spans="1:4" ht="12.75" customHeight="1">
      <c r="A153" s="116">
        <v>12</v>
      </c>
      <c r="B153" s="416" t="s">
        <v>398</v>
      </c>
      <c r="C153" s="304" t="s">
        <v>254</v>
      </c>
      <c r="D153" s="508">
        <v>2000</v>
      </c>
    </row>
    <row r="154" spans="1:4" ht="12.75" customHeight="1">
      <c r="A154" s="116">
        <f>A153</f>
        <v>12</v>
      </c>
      <c r="B154" s="416" t="s">
        <v>474</v>
      </c>
      <c r="C154" s="304" t="str">
        <f>B154</f>
        <v>RSD Property Insurance </v>
      </c>
      <c r="D154" s="508">
        <f>200*'Sched A-Revenue'!C20</f>
        <v>127000</v>
      </c>
    </row>
    <row r="155" spans="1:4" ht="12.75" customHeight="1">
      <c r="A155" s="116">
        <f>A154</f>
        <v>12</v>
      </c>
      <c r="B155" s="416" t="s">
        <v>485</v>
      </c>
      <c r="C155" s="304" t="str">
        <f>B155</f>
        <v>Landscaping </v>
      </c>
      <c r="D155" s="508">
        <v>25000</v>
      </c>
    </row>
    <row r="156" spans="1:4" ht="12.75" customHeight="1">
      <c r="A156" s="116">
        <f>A155</f>
        <v>12</v>
      </c>
      <c r="B156" s="416" t="s">
        <v>398</v>
      </c>
      <c r="C156" s="304" t="s">
        <v>256</v>
      </c>
      <c r="D156" s="508">
        <v>125000</v>
      </c>
    </row>
    <row r="157" spans="2:4" ht="12.75" customHeight="1">
      <c r="B157" s="431" t="s">
        <v>357</v>
      </c>
      <c r="C157" s="430"/>
      <c r="D157" s="432">
        <f>SUM(D145:D156)</f>
        <v>911100</v>
      </c>
    </row>
    <row r="158" spans="2:4" ht="12.75" customHeight="1">
      <c r="B158" s="311"/>
      <c r="D158" s="315"/>
    </row>
    <row r="159" spans="2:4" ht="12.75" customHeight="1">
      <c r="B159" s="421" t="s">
        <v>399</v>
      </c>
      <c r="C159" s="422">
        <f>D157</f>
        <v>911100</v>
      </c>
      <c r="D159" s="412"/>
    </row>
    <row r="162" spans="2:4" ht="12.75" customHeight="1">
      <c r="B162" s="384" t="s">
        <v>78</v>
      </c>
      <c r="C162" s="294"/>
      <c r="D162" s="357"/>
    </row>
    <row r="163" spans="1:4" ht="12.75" customHeight="1">
      <c r="A163" s="116">
        <v>10</v>
      </c>
      <c r="B163" s="416" t="s">
        <v>398</v>
      </c>
      <c r="C163" s="304" t="s">
        <v>487</v>
      </c>
      <c r="D163" s="358">
        <v>300000</v>
      </c>
    </row>
    <row r="164" spans="2:4" ht="12.75" customHeight="1">
      <c r="B164" s="416"/>
      <c r="C164" s="304"/>
      <c r="D164" s="358"/>
    </row>
    <row r="165" spans="2:4" ht="12.75" customHeight="1">
      <c r="B165" s="416"/>
      <c r="C165" s="304"/>
      <c r="D165" s="358"/>
    </row>
    <row r="166" spans="2:4" ht="12.75" customHeight="1">
      <c r="B166" s="431" t="s">
        <v>357</v>
      </c>
      <c r="C166" s="430"/>
      <c r="D166" s="432">
        <f>SUM(D163:D165)</f>
        <v>300000</v>
      </c>
    </row>
    <row r="167" spans="2:4" ht="12.75" customHeight="1">
      <c r="B167" s="311"/>
      <c r="D167" s="315"/>
    </row>
    <row r="168" spans="2:4" ht="12.75" customHeight="1">
      <c r="B168" s="421" t="s">
        <v>400</v>
      </c>
      <c r="C168" s="422">
        <f>D166</f>
        <v>300000</v>
      </c>
      <c r="D168" s="412"/>
    </row>
    <row r="171" spans="2:4" ht="12.75" customHeight="1">
      <c r="B171" s="384" t="s">
        <v>81</v>
      </c>
      <c r="C171" s="294"/>
      <c r="D171" s="357"/>
    </row>
    <row r="172" spans="2:4" ht="12.75" customHeight="1">
      <c r="B172" s="416"/>
      <c r="C172" s="304"/>
      <c r="D172" s="358"/>
    </row>
    <row r="173" spans="2:4" ht="12.75" customHeight="1">
      <c r="B173" s="416"/>
      <c r="C173" s="304"/>
      <c r="D173" s="358"/>
    </row>
    <row r="174" spans="2:4" ht="12.75" customHeight="1">
      <c r="B174" s="416"/>
      <c r="C174" s="304"/>
      <c r="D174" s="358"/>
    </row>
    <row r="175" spans="2:4" ht="12.75" customHeight="1">
      <c r="B175" s="416"/>
      <c r="C175" s="304"/>
      <c r="D175" s="358"/>
    </row>
    <row r="176" spans="2:4" ht="12.75" customHeight="1">
      <c r="B176" s="431" t="s">
        <v>357</v>
      </c>
      <c r="C176" s="430"/>
      <c r="D176" s="432">
        <f>SUM(D172:D175)</f>
        <v>0</v>
      </c>
    </row>
    <row r="177" spans="2:4" ht="12.75" customHeight="1">
      <c r="B177" s="311"/>
      <c r="D177" s="315"/>
    </row>
    <row r="178" spans="2:4" ht="12.75" customHeight="1">
      <c r="B178" s="421" t="s">
        <v>401</v>
      </c>
      <c r="C178" s="422">
        <f>D176</f>
        <v>0</v>
      </c>
      <c r="D178" s="412"/>
    </row>
  </sheetData>
  <sheetProtection/>
  <mergeCells count="8">
    <mergeCell ref="B113:I113"/>
    <mergeCell ref="B127:I127"/>
    <mergeCell ref="B7:I7"/>
    <mergeCell ref="B65:I65"/>
    <mergeCell ref="B81:I81"/>
    <mergeCell ref="B99:I99"/>
    <mergeCell ref="B45:I45"/>
    <mergeCell ref="B30:I30"/>
  </mergeCells>
  <printOptions/>
  <pageMargins left="0.7" right="0.7" top="0.75" bottom="0.75" header="0.3" footer="0.3"/>
  <pageSetup horizontalDpi="600" verticalDpi="600" orientation="landscape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C1">
      <selection activeCell="F28" sqref="F28"/>
    </sheetView>
  </sheetViews>
  <sheetFormatPr defaultColWidth="8.88671875" defaultRowHeight="12.75" customHeight="1"/>
  <cols>
    <col min="1" max="1" width="8.88671875" style="116" customWidth="1"/>
    <col min="2" max="2" width="31.21484375" style="116" customWidth="1"/>
    <col min="3" max="3" width="15.21484375" style="117" customWidth="1"/>
    <col min="4" max="4" width="16.88671875" style="116" customWidth="1"/>
    <col min="5" max="5" width="10.88671875" style="116" customWidth="1"/>
    <col min="6" max="6" width="11.99609375" style="116" customWidth="1"/>
    <col min="7" max="7" width="12.4453125" style="116" customWidth="1"/>
    <col min="8" max="8" width="10.88671875" style="116" customWidth="1"/>
    <col min="9" max="9" width="11.4453125" style="116" customWidth="1"/>
    <col min="10" max="10" width="11.88671875" style="116" customWidth="1"/>
    <col min="11" max="16384" width="8.88671875" style="116" customWidth="1"/>
  </cols>
  <sheetData>
    <row r="1" spans="1:10" ht="12.75" customHeight="1">
      <c r="A1" s="190" t="str">
        <f>Control!C6</f>
        <v>Lake Area New Tech Early College High School 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12.75" customHeight="1">
      <c r="A2" s="191" t="s">
        <v>407</v>
      </c>
      <c r="B2" s="195"/>
      <c r="C2" s="195"/>
      <c r="D2" s="195"/>
      <c r="E2" s="191"/>
      <c r="F2" s="191"/>
      <c r="G2" s="191"/>
      <c r="H2" s="191"/>
      <c r="I2" s="191"/>
      <c r="J2" s="192"/>
    </row>
    <row r="3" spans="1:10" ht="12.75" customHeight="1">
      <c r="A3" s="193"/>
      <c r="B3" s="323"/>
      <c r="C3" s="323"/>
      <c r="D3" s="323"/>
      <c r="E3" s="193"/>
      <c r="F3" s="193"/>
      <c r="G3" s="193"/>
      <c r="H3" s="193"/>
      <c r="I3" s="193"/>
      <c r="J3" s="194"/>
    </row>
    <row r="4" spans="1:2" ht="12.75" customHeight="1">
      <c r="A4" s="300"/>
      <c r="B4" s="301" t="s">
        <v>360</v>
      </c>
    </row>
    <row r="5" spans="2:3" ht="12.75" customHeight="1">
      <c r="B5" s="305" t="s">
        <v>361</v>
      </c>
      <c r="C5" s="116"/>
    </row>
    <row r="6" spans="4:9" ht="12.75" customHeight="1">
      <c r="D6" s="325" t="s">
        <v>167</v>
      </c>
      <c r="E6" s="497">
        <v>0.35</v>
      </c>
      <c r="F6" s="325" t="s">
        <v>162</v>
      </c>
      <c r="G6" s="325" t="s">
        <v>353</v>
      </c>
      <c r="H6" s="325" t="s">
        <v>352</v>
      </c>
      <c r="I6" s="325" t="s">
        <v>354</v>
      </c>
    </row>
    <row r="7" spans="1:9" s="324" customFormat="1" ht="18.75" customHeight="1">
      <c r="A7" s="328">
        <v>3100</v>
      </c>
      <c r="B7" s="579" t="s">
        <v>87</v>
      </c>
      <c r="C7" s="579"/>
      <c r="D7" s="579"/>
      <c r="E7" s="579"/>
      <c r="F7" s="579"/>
      <c r="G7" s="579"/>
      <c r="H7" s="579"/>
      <c r="I7" s="579"/>
    </row>
    <row r="8" spans="1:9" s="288" customFormat="1" ht="12.75" customHeight="1">
      <c r="A8" s="289"/>
      <c r="B8" s="289"/>
      <c r="C8" s="290"/>
      <c r="D8" s="289"/>
      <c r="E8" s="289"/>
      <c r="F8" s="289"/>
      <c r="G8" s="289"/>
      <c r="H8" s="289"/>
      <c r="I8" s="289"/>
    </row>
    <row r="9" spans="1:9" s="288" customFormat="1" ht="12.75" customHeight="1">
      <c r="A9" s="289" t="s">
        <v>394</v>
      </c>
      <c r="B9" s="289"/>
      <c r="C9" s="290"/>
      <c r="D9" s="289"/>
      <c r="E9" s="289"/>
      <c r="F9" s="289"/>
      <c r="G9" s="289"/>
      <c r="H9" s="289"/>
      <c r="I9" s="289"/>
    </row>
    <row r="10" spans="2:9" ht="12.75" customHeight="1">
      <c r="B10" s="301"/>
      <c r="C10" s="301"/>
      <c r="D10" s="302"/>
      <c r="E10" s="303"/>
      <c r="F10" s="303"/>
      <c r="G10" s="303"/>
      <c r="H10" s="304"/>
      <c r="I10" s="304"/>
    </row>
    <row r="11" spans="1:9" ht="12.75" customHeight="1">
      <c r="A11" s="288" t="s">
        <v>362</v>
      </c>
      <c r="B11" s="355"/>
      <c r="C11" s="355"/>
      <c r="D11" s="356">
        <f>SUM(D10:D10)</f>
        <v>0</v>
      </c>
      <c r="E11" s="356">
        <f>SUM(E10:E10)</f>
        <v>0</v>
      </c>
      <c r="F11" s="356">
        <f>SUM(F10:F10)</f>
        <v>0</v>
      </c>
      <c r="G11" s="356">
        <f>SUM(G10:G10)</f>
        <v>0</v>
      </c>
      <c r="H11" s="356">
        <f>SUM(H10:H10)</f>
        <v>0</v>
      </c>
      <c r="I11" s="300"/>
    </row>
    <row r="12" spans="2:8" ht="12.75" customHeight="1">
      <c r="B12" s="117"/>
      <c r="D12" s="291"/>
      <c r="E12" s="122"/>
      <c r="F12" s="122"/>
      <c r="G12" s="291">
        <v>0</v>
      </c>
      <c r="H12" s="122"/>
    </row>
    <row r="13" spans="1:9" ht="12.75" customHeight="1">
      <c r="A13" s="288" t="s">
        <v>359</v>
      </c>
      <c r="B13" s="117"/>
      <c r="D13" s="325"/>
      <c r="E13" s="289"/>
      <c r="F13" s="325"/>
      <c r="G13" s="325"/>
      <c r="H13" s="325"/>
      <c r="I13" s="325"/>
    </row>
    <row r="14" spans="2:9" ht="12.75" customHeight="1">
      <c r="B14" s="304" t="s">
        <v>265</v>
      </c>
      <c r="C14" s="301"/>
      <c r="D14" s="304"/>
      <c r="E14" s="303">
        <f>D14*$E$6</f>
        <v>0</v>
      </c>
      <c r="F14" s="304">
        <v>300000</v>
      </c>
      <c r="G14" s="526">
        <v>50000</v>
      </c>
      <c r="H14" s="304">
        <v>250000</v>
      </c>
      <c r="I14" s="304" t="s">
        <v>163</v>
      </c>
    </row>
    <row r="15" spans="2:9" ht="12.75" customHeight="1">
      <c r="B15" s="301"/>
      <c r="C15" s="301"/>
      <c r="D15" s="302"/>
      <c r="E15" s="303">
        <f>D15*$E$6</f>
        <v>0</v>
      </c>
      <c r="F15" s="303"/>
      <c r="G15" s="303"/>
      <c r="H15" s="303"/>
      <c r="I15" s="304"/>
    </row>
    <row r="16" spans="1:8" ht="12.75" customHeight="1">
      <c r="A16" s="288" t="s">
        <v>362</v>
      </c>
      <c r="B16" s="117"/>
      <c r="D16" s="292">
        <f>SUM(D14:D15)</f>
        <v>0</v>
      </c>
      <c r="E16" s="292">
        <f>SUM(E14:E15)</f>
        <v>0</v>
      </c>
      <c r="F16" s="292">
        <f>SUM(F14:F15)</f>
        <v>300000</v>
      </c>
      <c r="G16" s="292">
        <f>SUM(G14:G15)</f>
        <v>50000</v>
      </c>
      <c r="H16" s="292">
        <f>SUM(H14:H15)</f>
        <v>250000</v>
      </c>
    </row>
    <row r="17" spans="1:8" ht="12.75" customHeight="1">
      <c r="A17" s="288"/>
      <c r="B17" s="117"/>
      <c r="D17" s="292"/>
      <c r="E17" s="292"/>
      <c r="F17" s="292"/>
      <c r="G17" s="292"/>
      <c r="H17" s="292"/>
    </row>
    <row r="18" spans="1:10" s="332" customFormat="1" ht="12.75" customHeight="1">
      <c r="A18" s="426">
        <v>3100</v>
      </c>
      <c r="B18" s="426" t="s">
        <v>162</v>
      </c>
      <c r="C18" s="427"/>
      <c r="D18" s="428">
        <f aca="true" t="shared" si="0" ref="D18:I18">D16+D11</f>
        <v>0</v>
      </c>
      <c r="E18" s="428">
        <f t="shared" si="0"/>
        <v>0</v>
      </c>
      <c r="F18" s="428">
        <f t="shared" si="0"/>
        <v>300000</v>
      </c>
      <c r="G18" s="428">
        <f t="shared" si="0"/>
        <v>50000</v>
      </c>
      <c r="H18" s="428">
        <f t="shared" si="0"/>
        <v>250000</v>
      </c>
      <c r="I18" s="428">
        <f t="shared" si="0"/>
        <v>0</v>
      </c>
      <c r="J18" s="331">
        <f>SUM(G18:H18)</f>
        <v>300000</v>
      </c>
    </row>
    <row r="21" spans="4:9" ht="12.75" customHeight="1">
      <c r="D21" s="325" t="s">
        <v>167</v>
      </c>
      <c r="E21" s="498">
        <f>E6</f>
        <v>0.35</v>
      </c>
      <c r="F21" s="325" t="s">
        <v>162</v>
      </c>
      <c r="G21" s="325" t="s">
        <v>353</v>
      </c>
      <c r="H21" s="325" t="s">
        <v>352</v>
      </c>
      <c r="I21" s="325" t="s">
        <v>354</v>
      </c>
    </row>
    <row r="22" spans="1:9" s="324" customFormat="1" ht="18.75" customHeight="1">
      <c r="A22" s="328">
        <v>3200</v>
      </c>
      <c r="B22" s="579" t="s">
        <v>90</v>
      </c>
      <c r="C22" s="579"/>
      <c r="D22" s="579"/>
      <c r="E22" s="579"/>
      <c r="F22" s="579"/>
      <c r="G22" s="579"/>
      <c r="H22" s="579"/>
      <c r="I22" s="579"/>
    </row>
    <row r="23" spans="1:9" s="288" customFormat="1" ht="12.75" customHeight="1">
      <c r="A23" s="289"/>
      <c r="B23" s="289"/>
      <c r="C23" s="290"/>
      <c r="D23" s="289"/>
      <c r="E23" s="289"/>
      <c r="F23" s="289"/>
      <c r="G23" s="289"/>
      <c r="H23" s="289"/>
      <c r="I23" s="289"/>
    </row>
    <row r="24" spans="1:9" s="288" customFormat="1" ht="12.75" customHeight="1">
      <c r="A24" s="289" t="s">
        <v>394</v>
      </c>
      <c r="B24" s="289"/>
      <c r="C24" s="290"/>
      <c r="D24" s="289"/>
      <c r="E24" s="289"/>
      <c r="F24" s="289"/>
      <c r="G24" s="289"/>
      <c r="H24" s="289"/>
      <c r="I24" s="289"/>
    </row>
    <row r="25" spans="2:9" ht="12.75" customHeight="1">
      <c r="B25" s="301"/>
      <c r="C25" s="301"/>
      <c r="D25" s="302"/>
      <c r="E25" s="303">
        <f>D25*$E$21</f>
        <v>0</v>
      </c>
      <c r="F25" s="303"/>
      <c r="G25" s="303"/>
      <c r="H25" s="304"/>
      <c r="I25" s="304"/>
    </row>
    <row r="26" spans="1:9" ht="12.75" customHeight="1">
      <c r="A26" s="288" t="s">
        <v>362</v>
      </c>
      <c r="B26" s="355"/>
      <c r="C26" s="355"/>
      <c r="D26" s="356">
        <f>SUM(D25:D25)</f>
        <v>0</v>
      </c>
      <c r="E26" s="356">
        <f>SUM(E25:E25)</f>
        <v>0</v>
      </c>
      <c r="F26" s="356">
        <f>SUM(F25:F25)</f>
        <v>0</v>
      </c>
      <c r="G26" s="356">
        <f>SUM(G25:G25)</f>
        <v>0</v>
      </c>
      <c r="H26" s="356">
        <f>SUM(H25:H25)</f>
        <v>0</v>
      </c>
      <c r="I26" s="300"/>
    </row>
    <row r="27" spans="2:8" ht="12.75" customHeight="1">
      <c r="B27" s="117"/>
      <c r="D27" s="291"/>
      <c r="E27" s="122"/>
      <c r="F27" s="122"/>
      <c r="G27" s="291"/>
      <c r="H27" s="122"/>
    </row>
    <row r="28" spans="1:9" ht="12.75" customHeight="1">
      <c r="A28" s="288" t="s">
        <v>359</v>
      </c>
      <c r="B28" s="117"/>
      <c r="D28" s="325"/>
      <c r="E28" s="289"/>
      <c r="F28" s="325"/>
      <c r="G28" s="325"/>
      <c r="H28" s="325"/>
      <c r="I28" s="325"/>
    </row>
    <row r="29" spans="2:9" ht="12.75" customHeight="1">
      <c r="B29" s="304"/>
      <c r="C29" s="301"/>
      <c r="D29" s="304"/>
      <c r="E29" s="303">
        <f>D29*$E$21</f>
        <v>0</v>
      </c>
      <c r="F29" s="304"/>
      <c r="G29" s="302"/>
      <c r="H29" s="304"/>
      <c r="I29" s="304"/>
    </row>
    <row r="30" spans="2:9" ht="12.75" customHeight="1">
      <c r="B30" s="301"/>
      <c r="C30" s="301"/>
      <c r="D30" s="302"/>
      <c r="E30" s="303">
        <f>D30*$E$21</f>
        <v>0</v>
      </c>
      <c r="F30" s="303"/>
      <c r="G30" s="303"/>
      <c r="H30" s="303"/>
      <c r="I30" s="304"/>
    </row>
    <row r="31" spans="1:8" ht="12.75" customHeight="1">
      <c r="A31" s="288" t="s">
        <v>362</v>
      </c>
      <c r="B31" s="117"/>
      <c r="D31" s="292">
        <f>SUM(D29:D30)</f>
        <v>0</v>
      </c>
      <c r="E31" s="292">
        <f>SUM(E29:E30)</f>
        <v>0</v>
      </c>
      <c r="F31" s="292">
        <f>SUM(F29:F30)</f>
        <v>0</v>
      </c>
      <c r="G31" s="292">
        <f>SUM(G29:G30)</f>
        <v>0</v>
      </c>
      <c r="H31" s="292">
        <f>SUM(H29:H30)</f>
        <v>0</v>
      </c>
    </row>
    <row r="32" spans="1:8" ht="12.75" customHeight="1">
      <c r="A32" s="288"/>
      <c r="B32" s="117"/>
      <c r="D32" s="292"/>
      <c r="E32" s="292"/>
      <c r="F32" s="292"/>
      <c r="G32" s="292"/>
      <c r="H32" s="292"/>
    </row>
    <row r="33" spans="1:10" s="332" customFormat="1" ht="12.75" customHeight="1">
      <c r="A33" s="426">
        <v>3200</v>
      </c>
      <c r="B33" s="426" t="s">
        <v>162</v>
      </c>
      <c r="C33" s="427"/>
      <c r="D33" s="428">
        <f aca="true" t="shared" si="1" ref="D33:I33">D31+D26</f>
        <v>0</v>
      </c>
      <c r="E33" s="428">
        <f t="shared" si="1"/>
        <v>0</v>
      </c>
      <c r="F33" s="428">
        <f t="shared" si="1"/>
        <v>0</v>
      </c>
      <c r="G33" s="428">
        <f t="shared" si="1"/>
        <v>0</v>
      </c>
      <c r="H33" s="428">
        <f t="shared" si="1"/>
        <v>0</v>
      </c>
      <c r="I33" s="428">
        <f t="shared" si="1"/>
        <v>0</v>
      </c>
      <c r="J33" s="331">
        <f>SUM(G33:H33)</f>
        <v>0</v>
      </c>
    </row>
    <row r="36" spans="4:9" ht="12.75" customHeight="1">
      <c r="D36" s="325" t="s">
        <v>167</v>
      </c>
      <c r="E36" s="498">
        <f>E6</f>
        <v>0.35</v>
      </c>
      <c r="F36" s="325" t="s">
        <v>162</v>
      </c>
      <c r="G36" s="325" t="s">
        <v>353</v>
      </c>
      <c r="H36" s="325" t="s">
        <v>352</v>
      </c>
      <c r="I36" s="325" t="s">
        <v>354</v>
      </c>
    </row>
    <row r="37" spans="1:9" s="324" customFormat="1" ht="18.75" customHeight="1">
      <c r="A37" s="328">
        <v>3300</v>
      </c>
      <c r="B37" s="579" t="s">
        <v>93</v>
      </c>
      <c r="C37" s="579"/>
      <c r="D37" s="579"/>
      <c r="E37" s="579"/>
      <c r="F37" s="579"/>
      <c r="G37" s="579"/>
      <c r="H37" s="579"/>
      <c r="I37" s="579"/>
    </row>
    <row r="38" spans="1:9" s="288" customFormat="1" ht="12.75" customHeight="1">
      <c r="A38" s="289"/>
      <c r="B38" s="289"/>
      <c r="C38" s="290"/>
      <c r="D38" s="289"/>
      <c r="E38" s="289"/>
      <c r="F38" s="289"/>
      <c r="G38" s="289"/>
      <c r="H38" s="289"/>
      <c r="I38" s="289"/>
    </row>
    <row r="39" spans="1:9" s="288" customFormat="1" ht="12.75" customHeight="1">
      <c r="A39" s="289" t="s">
        <v>394</v>
      </c>
      <c r="B39" s="289"/>
      <c r="C39" s="290"/>
      <c r="D39" s="289"/>
      <c r="E39" s="289"/>
      <c r="F39" s="289"/>
      <c r="G39" s="289"/>
      <c r="H39" s="289"/>
      <c r="I39" s="289"/>
    </row>
    <row r="40" spans="2:9" ht="12.75" customHeight="1">
      <c r="B40" s="301"/>
      <c r="C40" s="301"/>
      <c r="D40" s="302"/>
      <c r="E40" s="303">
        <f>D40*$E$36</f>
        <v>0</v>
      </c>
      <c r="F40" s="303"/>
      <c r="G40" s="303"/>
      <c r="H40" s="304"/>
      <c r="I40" s="304"/>
    </row>
    <row r="41" spans="1:9" ht="12.75" customHeight="1">
      <c r="A41" s="288" t="s">
        <v>362</v>
      </c>
      <c r="B41" s="355"/>
      <c r="C41" s="355"/>
      <c r="D41" s="356">
        <f>SUM(D40:D40)</f>
        <v>0</v>
      </c>
      <c r="E41" s="356">
        <f>SUM(E40:E40)</f>
        <v>0</v>
      </c>
      <c r="F41" s="356">
        <f>SUM(F40:F40)</f>
        <v>0</v>
      </c>
      <c r="G41" s="356">
        <f>SUM(G40:G40)</f>
        <v>0</v>
      </c>
      <c r="H41" s="356">
        <f>SUM(H40:H40)</f>
        <v>0</v>
      </c>
      <c r="I41" s="300"/>
    </row>
    <row r="42" spans="2:8" ht="12.75" customHeight="1">
      <c r="B42" s="117"/>
      <c r="D42" s="291"/>
      <c r="E42" s="122"/>
      <c r="F42" s="122"/>
      <c r="G42" s="291">
        <v>0</v>
      </c>
      <c r="H42" s="122"/>
    </row>
    <row r="43" spans="1:9" ht="12.75" customHeight="1">
      <c r="A43" s="288" t="s">
        <v>359</v>
      </c>
      <c r="B43" s="117"/>
      <c r="D43" s="325"/>
      <c r="E43" s="289"/>
      <c r="F43" s="325"/>
      <c r="G43" s="325"/>
      <c r="H43" s="325"/>
      <c r="I43" s="325"/>
    </row>
    <row r="44" spans="2:9" ht="12.75" customHeight="1">
      <c r="B44" s="304"/>
      <c r="C44" s="301"/>
      <c r="D44" s="304"/>
      <c r="E44" s="303">
        <f>D44*$E$36</f>
        <v>0</v>
      </c>
      <c r="F44" s="304"/>
      <c r="G44" s="302"/>
      <c r="H44" s="304"/>
      <c r="I44" s="304"/>
    </row>
    <row r="45" spans="2:9" ht="12.75" customHeight="1">
      <c r="B45" s="301"/>
      <c r="C45" s="301"/>
      <c r="D45" s="302"/>
      <c r="E45" s="303">
        <f>D45*$E$36</f>
        <v>0</v>
      </c>
      <c r="F45" s="303"/>
      <c r="G45" s="303"/>
      <c r="H45" s="303"/>
      <c r="I45" s="304"/>
    </row>
    <row r="46" spans="1:8" ht="12.75" customHeight="1">
      <c r="A46" s="288" t="s">
        <v>362</v>
      </c>
      <c r="B46" s="117"/>
      <c r="D46" s="292">
        <f>SUM(D44:D45)</f>
        <v>0</v>
      </c>
      <c r="E46" s="292">
        <f>SUM(E44:E45)</f>
        <v>0</v>
      </c>
      <c r="F46" s="292">
        <f>SUM(F44:F45)</f>
        <v>0</v>
      </c>
      <c r="G46" s="292">
        <f>SUM(G44:G45)</f>
        <v>0</v>
      </c>
      <c r="H46" s="292">
        <f>SUM(H44:H45)</f>
        <v>0</v>
      </c>
    </row>
    <row r="47" spans="1:8" ht="12.75" customHeight="1">
      <c r="A47" s="288"/>
      <c r="B47" s="117"/>
      <c r="D47" s="292"/>
      <c r="E47" s="292"/>
      <c r="F47" s="292"/>
      <c r="G47" s="292"/>
      <c r="H47" s="292"/>
    </row>
    <row r="48" spans="1:10" s="332" customFormat="1" ht="12.75" customHeight="1">
      <c r="A48" s="426">
        <v>3300</v>
      </c>
      <c r="B48" s="426" t="s">
        <v>162</v>
      </c>
      <c r="C48" s="427"/>
      <c r="D48" s="428">
        <f aca="true" t="shared" si="2" ref="D48:I48">D46+D41</f>
        <v>0</v>
      </c>
      <c r="E48" s="428">
        <f t="shared" si="2"/>
        <v>0</v>
      </c>
      <c r="F48" s="428">
        <f t="shared" si="2"/>
        <v>0</v>
      </c>
      <c r="G48" s="428">
        <f t="shared" si="2"/>
        <v>0</v>
      </c>
      <c r="H48" s="428">
        <f t="shared" si="2"/>
        <v>0</v>
      </c>
      <c r="I48" s="428">
        <f t="shared" si="2"/>
        <v>0</v>
      </c>
      <c r="J48" s="331">
        <f>SUM(G48:H48)</f>
        <v>0</v>
      </c>
    </row>
  </sheetData>
  <sheetProtection/>
  <mergeCells count="3">
    <mergeCell ref="B7:I7"/>
    <mergeCell ref="B22:I22"/>
    <mergeCell ref="B37:I37"/>
  </mergeCells>
  <printOptions/>
  <pageMargins left="0.7" right="0.7" top="0.75" bottom="0.75" header="0.3" footer="0.3"/>
  <pageSetup horizontalDpi="600" verticalDpi="6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37"/>
  <sheetViews>
    <sheetView zoomScalePageLayoutView="0" workbookViewId="0" topLeftCell="A1">
      <selection activeCell="A2" sqref="A2"/>
    </sheetView>
  </sheetViews>
  <sheetFormatPr defaultColWidth="8.88671875" defaultRowHeight="15"/>
  <cols>
    <col min="1" max="2" width="8.88671875" style="88" customWidth="1"/>
    <col min="3" max="3" width="18.77734375" style="88" customWidth="1"/>
    <col min="4" max="4" width="8.88671875" style="89" customWidth="1"/>
    <col min="5" max="5" width="16.88671875" style="88" customWidth="1"/>
    <col min="6" max="6" width="8.88671875" style="88" customWidth="1"/>
    <col min="7" max="7" width="11.21484375" style="88" customWidth="1"/>
    <col min="8" max="8" width="8.88671875" style="88" customWidth="1"/>
    <col min="9" max="9" width="9.3359375" style="88" bestFit="1" customWidth="1"/>
    <col min="10" max="10" width="8.88671875" style="88" customWidth="1"/>
    <col min="11" max="11" width="9.3359375" style="88" bestFit="1" customWidth="1"/>
    <col min="12" max="16384" width="8.88671875" style="88" customWidth="1"/>
  </cols>
  <sheetData>
    <row r="1" ht="12.75">
      <c r="A1" s="88" t="s">
        <v>165</v>
      </c>
    </row>
    <row r="2" ht="13.5" thickBot="1"/>
    <row r="3" spans="2:10" s="111" customFormat="1" ht="12.75">
      <c r="B3" s="125">
        <v>1100</v>
      </c>
      <c r="C3" s="126" t="s">
        <v>166</v>
      </c>
      <c r="D3" s="127"/>
      <c r="E3" s="126" t="s">
        <v>167</v>
      </c>
      <c r="F3" s="126" t="s">
        <v>168</v>
      </c>
      <c r="G3" s="126" t="s">
        <v>162</v>
      </c>
      <c r="H3" s="126"/>
      <c r="I3" s="126" t="s">
        <v>169</v>
      </c>
      <c r="J3" s="128" t="s">
        <v>170</v>
      </c>
    </row>
    <row r="4" spans="2:10" ht="25.5">
      <c r="B4" s="97"/>
      <c r="C4" s="98" t="s">
        <v>171</v>
      </c>
      <c r="D4" s="98" t="s">
        <v>266</v>
      </c>
      <c r="E4" s="99">
        <f>52914-3000</f>
        <v>49914</v>
      </c>
      <c r="F4" s="100">
        <f aca="true" t="shared" si="0" ref="F4:F13">0.28*E4</f>
        <v>13975.920000000002</v>
      </c>
      <c r="G4" s="100">
        <f aca="true" t="shared" si="1" ref="G4:G13">SUM(E4:F4)</f>
        <v>63889.92</v>
      </c>
      <c r="H4" s="101"/>
      <c r="I4" s="100">
        <f aca="true" t="shared" si="2" ref="I4:I13">G4</f>
        <v>63889.92</v>
      </c>
      <c r="J4" s="102"/>
    </row>
    <row r="5" spans="2:10" ht="25.5">
      <c r="B5" s="97"/>
      <c r="C5" s="98" t="s">
        <v>171</v>
      </c>
      <c r="D5" s="98" t="s">
        <v>267</v>
      </c>
      <c r="E5" s="99">
        <f>46194-3000</f>
        <v>43194</v>
      </c>
      <c r="F5" s="100">
        <f t="shared" si="0"/>
        <v>12094.320000000002</v>
      </c>
      <c r="G5" s="100">
        <f t="shared" si="1"/>
        <v>55288.32</v>
      </c>
      <c r="H5" s="101"/>
      <c r="I5" s="100">
        <f t="shared" si="2"/>
        <v>55288.32</v>
      </c>
      <c r="J5" s="102"/>
    </row>
    <row r="6" spans="2:10" ht="12.75">
      <c r="B6" s="97"/>
      <c r="C6" s="103" t="s">
        <v>172</v>
      </c>
      <c r="D6" s="103" t="s">
        <v>268</v>
      </c>
      <c r="E6" s="104">
        <f>57194-3000</f>
        <v>54194</v>
      </c>
      <c r="F6" s="100">
        <f t="shared" si="0"/>
        <v>15174.320000000002</v>
      </c>
      <c r="G6" s="100">
        <f t="shared" si="1"/>
        <v>69368.32</v>
      </c>
      <c r="H6" s="101"/>
      <c r="I6" s="100">
        <f t="shared" si="2"/>
        <v>69368.32</v>
      </c>
      <c r="J6" s="102"/>
    </row>
    <row r="7" spans="2:10" ht="12.75">
      <c r="B7" s="97"/>
      <c r="C7" s="98" t="s">
        <v>172</v>
      </c>
      <c r="D7" s="98" t="s">
        <v>269</v>
      </c>
      <c r="E7" s="99">
        <f>45000-3000</f>
        <v>42000</v>
      </c>
      <c r="F7" s="100">
        <f t="shared" si="0"/>
        <v>11760.000000000002</v>
      </c>
      <c r="G7" s="100">
        <f t="shared" si="1"/>
        <v>53760</v>
      </c>
      <c r="H7" s="101"/>
      <c r="I7" s="100">
        <f t="shared" si="2"/>
        <v>53760</v>
      </c>
      <c r="J7" s="102"/>
    </row>
    <row r="8" spans="2:10" ht="25.5">
      <c r="B8" s="97"/>
      <c r="C8" s="98" t="s">
        <v>173</v>
      </c>
      <c r="D8" s="98" t="s">
        <v>270</v>
      </c>
      <c r="E8" s="99">
        <f>43794-3000</f>
        <v>40794</v>
      </c>
      <c r="F8" s="100">
        <f t="shared" si="0"/>
        <v>11422.320000000002</v>
      </c>
      <c r="G8" s="100">
        <f t="shared" si="1"/>
        <v>52216.32</v>
      </c>
      <c r="H8" s="101"/>
      <c r="I8" s="100">
        <f t="shared" si="2"/>
        <v>52216.32</v>
      </c>
      <c r="J8" s="102"/>
    </row>
    <row r="9" spans="2:10" ht="25.5">
      <c r="B9" s="97"/>
      <c r="C9" s="98" t="s">
        <v>173</v>
      </c>
      <c r="D9" s="98" t="s">
        <v>271</v>
      </c>
      <c r="E9" s="99">
        <f>46194-3000</f>
        <v>43194</v>
      </c>
      <c r="F9" s="100">
        <f t="shared" si="0"/>
        <v>12094.320000000002</v>
      </c>
      <c r="G9" s="100">
        <f t="shared" si="1"/>
        <v>55288.32</v>
      </c>
      <c r="H9" s="101"/>
      <c r="I9" s="100">
        <f t="shared" si="2"/>
        <v>55288.32</v>
      </c>
      <c r="J9" s="102"/>
    </row>
    <row r="10" spans="2:10" ht="12.75">
      <c r="B10" s="97"/>
      <c r="C10" s="98" t="s">
        <v>174</v>
      </c>
      <c r="D10" s="98" t="s">
        <v>272</v>
      </c>
      <c r="E10" s="99">
        <f>43794-3000</f>
        <v>40794</v>
      </c>
      <c r="F10" s="100">
        <f t="shared" si="0"/>
        <v>11422.320000000002</v>
      </c>
      <c r="G10" s="100">
        <f t="shared" si="1"/>
        <v>52216.32</v>
      </c>
      <c r="H10" s="101"/>
      <c r="I10" s="100">
        <f t="shared" si="2"/>
        <v>52216.32</v>
      </c>
      <c r="J10" s="102"/>
    </row>
    <row r="11" spans="2:10" ht="25.5">
      <c r="B11" s="97"/>
      <c r="C11" s="98" t="s">
        <v>174</v>
      </c>
      <c r="D11" s="98" t="s">
        <v>273</v>
      </c>
      <c r="E11" s="99">
        <f>43794-3000</f>
        <v>40794</v>
      </c>
      <c r="F11" s="100">
        <f t="shared" si="0"/>
        <v>11422.320000000002</v>
      </c>
      <c r="G11" s="100">
        <f t="shared" si="1"/>
        <v>52216.32</v>
      </c>
      <c r="H11" s="101"/>
      <c r="I11" s="100">
        <f t="shared" si="2"/>
        <v>52216.32</v>
      </c>
      <c r="J11" s="102"/>
    </row>
    <row r="12" spans="2:10" ht="19.5" customHeight="1">
      <c r="B12" s="97"/>
      <c r="C12" s="98" t="s">
        <v>175</v>
      </c>
      <c r="D12" s="98" t="s">
        <v>274</v>
      </c>
      <c r="E12" s="99">
        <f>44754-3000</f>
        <v>41754</v>
      </c>
      <c r="F12" s="100">
        <f t="shared" si="0"/>
        <v>11691.12</v>
      </c>
      <c r="G12" s="100">
        <f t="shared" si="1"/>
        <v>53445.12</v>
      </c>
      <c r="H12" s="101"/>
      <c r="I12" s="100">
        <f t="shared" si="2"/>
        <v>53445.12</v>
      </c>
      <c r="J12" s="102"/>
    </row>
    <row r="13" spans="2:10" ht="25.5">
      <c r="B13" s="97"/>
      <c r="C13" s="98" t="s">
        <v>175</v>
      </c>
      <c r="D13" s="98" t="s">
        <v>275</v>
      </c>
      <c r="E13" s="99">
        <f>49914-3000</f>
        <v>46914</v>
      </c>
      <c r="F13" s="100">
        <f t="shared" si="0"/>
        <v>13135.920000000002</v>
      </c>
      <c r="G13" s="100">
        <f t="shared" si="1"/>
        <v>60049.92</v>
      </c>
      <c r="H13" s="101"/>
      <c r="I13" s="100">
        <f t="shared" si="2"/>
        <v>60049.92</v>
      </c>
      <c r="J13" s="102"/>
    </row>
    <row r="14" spans="2:10" ht="25.5">
      <c r="B14" s="97"/>
      <c r="C14" s="98" t="s">
        <v>175</v>
      </c>
      <c r="D14" s="98" t="s">
        <v>276</v>
      </c>
      <c r="E14" s="99">
        <f>43794-3000</f>
        <v>40794</v>
      </c>
      <c r="F14" s="100">
        <f aca="true" t="shared" si="3" ref="F14:F24">0.28*E14</f>
        <v>11422.320000000002</v>
      </c>
      <c r="G14" s="100">
        <f aca="true" t="shared" si="4" ref="G14:G24">SUM(E14:F14)</f>
        <v>52216.32</v>
      </c>
      <c r="H14" s="101" t="s">
        <v>153</v>
      </c>
      <c r="I14" s="100"/>
      <c r="J14" s="105">
        <f>G14</f>
        <v>52216.32</v>
      </c>
    </row>
    <row r="15" spans="2:10" ht="25.5">
      <c r="B15" s="97"/>
      <c r="C15" s="98" t="s">
        <v>277</v>
      </c>
      <c r="D15" s="98" t="s">
        <v>278</v>
      </c>
      <c r="E15" s="99">
        <f>43794-3000</f>
        <v>40794</v>
      </c>
      <c r="F15" s="100">
        <f t="shared" si="3"/>
        <v>11422.320000000002</v>
      </c>
      <c r="G15" s="100">
        <f t="shared" si="4"/>
        <v>52216.32</v>
      </c>
      <c r="H15" s="101"/>
      <c r="I15" s="100">
        <f>G15</f>
        <v>52216.32</v>
      </c>
      <c r="J15" s="102"/>
    </row>
    <row r="16" spans="2:10" ht="25.5">
      <c r="B16" s="97"/>
      <c r="C16" s="98" t="s">
        <v>279</v>
      </c>
      <c r="D16" s="98" t="s">
        <v>280</v>
      </c>
      <c r="E16" s="99">
        <f>45234-3000</f>
        <v>42234</v>
      </c>
      <c r="F16" s="100">
        <f t="shared" si="3"/>
        <v>11825.52</v>
      </c>
      <c r="G16" s="100">
        <f t="shared" si="4"/>
        <v>54059.520000000004</v>
      </c>
      <c r="H16" s="101"/>
      <c r="I16" s="100">
        <f>G16</f>
        <v>54059.520000000004</v>
      </c>
      <c r="J16" s="102"/>
    </row>
    <row r="17" spans="2:10" ht="25.5">
      <c r="B17" s="97"/>
      <c r="C17" s="98" t="s">
        <v>281</v>
      </c>
      <c r="D17" s="98" t="s">
        <v>282</v>
      </c>
      <c r="E17" s="99">
        <f>43794-3000</f>
        <v>40794</v>
      </c>
      <c r="F17" s="100">
        <f t="shared" si="3"/>
        <v>11422.320000000002</v>
      </c>
      <c r="G17" s="100">
        <f t="shared" si="4"/>
        <v>52216.32</v>
      </c>
      <c r="H17" s="101"/>
      <c r="I17" s="100">
        <f>G17</f>
        <v>52216.32</v>
      </c>
      <c r="J17" s="102"/>
    </row>
    <row r="18" spans="2:10" ht="12.75">
      <c r="B18" s="97"/>
      <c r="C18" s="98" t="s">
        <v>283</v>
      </c>
      <c r="D18" s="98" t="s">
        <v>284</v>
      </c>
      <c r="E18" s="99">
        <f>43794-3000</f>
        <v>40794</v>
      </c>
      <c r="F18" s="100">
        <f t="shared" si="3"/>
        <v>11422.320000000002</v>
      </c>
      <c r="G18" s="100">
        <f t="shared" si="4"/>
        <v>52216.32</v>
      </c>
      <c r="H18" s="101"/>
      <c r="I18" s="100">
        <f>G18</f>
        <v>52216.32</v>
      </c>
      <c r="J18" s="102"/>
    </row>
    <row r="19" spans="2:10" ht="38.25">
      <c r="B19" s="97"/>
      <c r="C19" s="98" t="s">
        <v>285</v>
      </c>
      <c r="D19" s="98" t="s">
        <v>286</v>
      </c>
      <c r="E19" s="99">
        <f>47634-3000</f>
        <v>44634</v>
      </c>
      <c r="F19" s="100">
        <f t="shared" si="3"/>
        <v>12497.52</v>
      </c>
      <c r="G19" s="100">
        <f t="shared" si="4"/>
        <v>57131.520000000004</v>
      </c>
      <c r="H19" s="101" t="s">
        <v>153</v>
      </c>
      <c r="I19" s="100"/>
      <c r="J19" s="105">
        <f>G19</f>
        <v>57131.520000000004</v>
      </c>
    </row>
    <row r="20" spans="2:10" ht="12.75">
      <c r="B20" s="97"/>
      <c r="C20" s="98" t="s">
        <v>287</v>
      </c>
      <c r="D20" s="98" t="s">
        <v>288</v>
      </c>
      <c r="E20" s="99">
        <f>43794-3000</f>
        <v>40794</v>
      </c>
      <c r="F20" s="100">
        <f t="shared" si="3"/>
        <v>11422.320000000002</v>
      </c>
      <c r="G20" s="100">
        <f t="shared" si="4"/>
        <v>52216.32</v>
      </c>
      <c r="H20" s="101"/>
      <c r="I20" s="100">
        <f>G20</f>
        <v>52216.32</v>
      </c>
      <c r="J20" s="102"/>
    </row>
    <row r="21" spans="2:10" ht="12.75">
      <c r="B21" s="97"/>
      <c r="C21" s="98" t="s">
        <v>289</v>
      </c>
      <c r="D21" s="98" t="s">
        <v>290</v>
      </c>
      <c r="E21" s="99">
        <f>43795-3000</f>
        <v>40795</v>
      </c>
      <c r="F21" s="100">
        <f t="shared" si="3"/>
        <v>11422.6</v>
      </c>
      <c r="G21" s="100">
        <f t="shared" si="4"/>
        <v>52217.6</v>
      </c>
      <c r="H21" s="101"/>
      <c r="I21" s="100">
        <f>G21</f>
        <v>52217.6</v>
      </c>
      <c r="J21" s="102"/>
    </row>
    <row r="22" spans="2:10" ht="12.75">
      <c r="B22" s="97"/>
      <c r="C22" s="98" t="s">
        <v>291</v>
      </c>
      <c r="D22" s="98" t="s">
        <v>292</v>
      </c>
      <c r="E22" s="99">
        <f>43794-3000</f>
        <v>40794</v>
      </c>
      <c r="F22" s="100">
        <f t="shared" si="3"/>
        <v>11422.320000000002</v>
      </c>
      <c r="G22" s="100">
        <f t="shared" si="4"/>
        <v>52216.32</v>
      </c>
      <c r="H22" s="101"/>
      <c r="I22" s="100">
        <f>G22</f>
        <v>52216.32</v>
      </c>
      <c r="J22" s="102"/>
    </row>
    <row r="23" spans="2:10" ht="25.5">
      <c r="B23" s="97"/>
      <c r="C23" s="98" t="s">
        <v>293</v>
      </c>
      <c r="D23" s="98" t="s">
        <v>294</v>
      </c>
      <c r="E23" s="99">
        <f>43794-3000</f>
        <v>40794</v>
      </c>
      <c r="F23" s="100">
        <f t="shared" si="3"/>
        <v>11422.320000000002</v>
      </c>
      <c r="G23" s="100">
        <f t="shared" si="4"/>
        <v>52216.32</v>
      </c>
      <c r="H23" s="101"/>
      <c r="I23" s="100">
        <f>G23</f>
        <v>52216.32</v>
      </c>
      <c r="J23" s="102"/>
    </row>
    <row r="24" spans="2:10" ht="12.75">
      <c r="B24" s="97"/>
      <c r="C24" s="98" t="s">
        <v>295</v>
      </c>
      <c r="D24" s="98" t="s">
        <v>296</v>
      </c>
      <c r="E24" s="99">
        <f>43794-3000</f>
        <v>40794</v>
      </c>
      <c r="F24" s="100">
        <f t="shared" si="3"/>
        <v>11422.320000000002</v>
      </c>
      <c r="G24" s="100">
        <f t="shared" si="4"/>
        <v>52216.32</v>
      </c>
      <c r="H24" s="101" t="s">
        <v>153</v>
      </c>
      <c r="I24" s="100"/>
      <c r="J24" s="105">
        <f>G24</f>
        <v>52216.32</v>
      </c>
    </row>
    <row r="25" spans="2:10" ht="12.75" hidden="1">
      <c r="B25" s="97"/>
      <c r="C25" s="98"/>
      <c r="D25" s="98"/>
      <c r="E25" s="99"/>
      <c r="F25" s="100"/>
      <c r="G25" s="100"/>
      <c r="H25" s="101"/>
      <c r="I25" s="99">
        <v>0</v>
      </c>
      <c r="J25" s="105"/>
    </row>
    <row r="26" spans="2:10" ht="12.75">
      <c r="B26" s="97"/>
      <c r="C26" s="98" t="s">
        <v>180</v>
      </c>
      <c r="D26" s="98"/>
      <c r="E26" s="99"/>
      <c r="F26" s="100"/>
      <c r="G26" s="100"/>
      <c r="H26" s="101"/>
      <c r="I26" s="101"/>
      <c r="J26" s="105">
        <v>10000</v>
      </c>
    </row>
    <row r="27" spans="2:10" ht="25.5">
      <c r="B27" s="97"/>
      <c r="C27" s="98" t="s">
        <v>178</v>
      </c>
      <c r="D27" s="98"/>
      <c r="E27" s="99">
        <f>21*3000</f>
        <v>63000</v>
      </c>
      <c r="F27" s="100">
        <f>0.1695*E27</f>
        <v>10678.5</v>
      </c>
      <c r="G27" s="100">
        <f>SUM(E27:F27)</f>
        <v>73678.5</v>
      </c>
      <c r="H27" s="101" t="s">
        <v>153</v>
      </c>
      <c r="I27" s="101"/>
      <c r="J27" s="105">
        <f>G27</f>
        <v>73678.5</v>
      </c>
    </row>
    <row r="28" spans="2:10" ht="12.75">
      <c r="B28" s="97"/>
      <c r="C28" s="98" t="s">
        <v>179</v>
      </c>
      <c r="D28" s="98"/>
      <c r="E28" s="99"/>
      <c r="F28" s="100"/>
      <c r="G28" s="100"/>
      <c r="H28" s="101"/>
      <c r="I28" s="101"/>
      <c r="J28" s="105"/>
    </row>
    <row r="29" spans="2:10" ht="51">
      <c r="B29" s="97"/>
      <c r="C29" s="98" t="s">
        <v>297</v>
      </c>
      <c r="D29" s="98"/>
      <c r="E29" s="99"/>
      <c r="F29" s="100"/>
      <c r="G29" s="100"/>
      <c r="H29" s="101" t="s">
        <v>147</v>
      </c>
      <c r="I29" s="101"/>
      <c r="J29" s="105">
        <v>100000</v>
      </c>
    </row>
    <row r="30" spans="2:10" ht="51">
      <c r="B30" s="97"/>
      <c r="C30" s="98" t="s">
        <v>187</v>
      </c>
      <c r="D30" s="98"/>
      <c r="E30" s="99"/>
      <c r="F30" s="100"/>
      <c r="G30" s="100"/>
      <c r="H30" s="101"/>
      <c r="I30" s="99">
        <v>30000</v>
      </c>
      <c r="J30" s="105"/>
    </row>
    <row r="31" spans="2:10" ht="38.25">
      <c r="B31" s="97"/>
      <c r="C31" s="98" t="s">
        <v>188</v>
      </c>
      <c r="D31" s="98"/>
      <c r="E31" s="99"/>
      <c r="F31" s="100"/>
      <c r="G31" s="100"/>
      <c r="H31" s="101"/>
      <c r="I31" s="101"/>
      <c r="J31" s="105">
        <v>150000</v>
      </c>
    </row>
    <row r="32" spans="2:10" ht="12.75">
      <c r="B32" s="97"/>
      <c r="C32" s="103" t="s">
        <v>176</v>
      </c>
      <c r="D32" s="103" t="s">
        <v>298</v>
      </c>
      <c r="E32" s="104">
        <v>22050</v>
      </c>
      <c r="F32" s="100">
        <f>0.28*E32</f>
        <v>6174.000000000001</v>
      </c>
      <c r="G32" s="100">
        <f>SUM(E32:F32)</f>
        <v>28224</v>
      </c>
      <c r="H32" s="101" t="s">
        <v>153</v>
      </c>
      <c r="I32" s="100"/>
      <c r="J32" s="105">
        <f>G32</f>
        <v>28224</v>
      </c>
    </row>
    <row r="33" spans="2:10" ht="12.75">
      <c r="B33" s="97"/>
      <c r="C33" s="103" t="s">
        <v>177</v>
      </c>
      <c r="D33" s="103" t="s">
        <v>269</v>
      </c>
      <c r="E33" s="104">
        <f>E32</f>
        <v>22050</v>
      </c>
      <c r="F33" s="100">
        <f>0.28*E33</f>
        <v>6174.000000000001</v>
      </c>
      <c r="G33" s="100">
        <f>SUM(E33:F33)</f>
        <v>28224</v>
      </c>
      <c r="H33" s="101" t="s">
        <v>153</v>
      </c>
      <c r="I33" s="100"/>
      <c r="J33" s="105">
        <f>G33</f>
        <v>28224</v>
      </c>
    </row>
    <row r="34" spans="2:10" ht="12.75">
      <c r="B34" s="97"/>
      <c r="C34" s="98"/>
      <c r="D34" s="98"/>
      <c r="E34" s="99"/>
      <c r="F34" s="100"/>
      <c r="G34" s="100"/>
      <c r="H34" s="101"/>
      <c r="I34" s="101"/>
      <c r="J34" s="105"/>
    </row>
    <row r="35" spans="2:10" ht="12.75">
      <c r="B35" s="97"/>
      <c r="C35" s="98"/>
      <c r="D35" s="98"/>
      <c r="E35" s="99"/>
      <c r="F35" s="100"/>
      <c r="G35" s="100"/>
      <c r="H35" s="101"/>
      <c r="I35" s="101"/>
      <c r="J35" s="105"/>
    </row>
    <row r="36" spans="2:11" ht="13.5" thickBot="1">
      <c r="B36" s="129">
        <v>1100</v>
      </c>
      <c r="C36" s="130" t="s">
        <v>162</v>
      </c>
      <c r="D36" s="131"/>
      <c r="E36" s="132">
        <f>SUM(E4:E24)</f>
        <v>897561</v>
      </c>
      <c r="F36" s="132">
        <f>SUM(F4:F24)</f>
        <v>251317.08000000005</v>
      </c>
      <c r="G36" s="132">
        <f>SUM(G4:G24)</f>
        <v>1148878.0799999998</v>
      </c>
      <c r="H36" s="130"/>
      <c r="I36" s="132">
        <f>SUM(I4:I35)</f>
        <v>1017313.9199999997</v>
      </c>
      <c r="J36" s="133">
        <f>SUM(J4:J35)</f>
        <v>551690.66</v>
      </c>
      <c r="K36" s="91">
        <f>SUM(I36:J36)</f>
        <v>1569004.5799999996</v>
      </c>
    </row>
    <row r="37" s="116" customFormat="1" ht="13.5" thickBot="1">
      <c r="D37" s="117"/>
    </row>
    <row r="38" spans="2:10" ht="12.75">
      <c r="B38" s="125">
        <v>1200</v>
      </c>
      <c r="C38" s="126" t="s">
        <v>181</v>
      </c>
      <c r="D38" s="127"/>
      <c r="E38" s="126"/>
      <c r="F38" s="126"/>
      <c r="G38" s="126"/>
      <c r="H38" s="126"/>
      <c r="I38" s="126"/>
      <c r="J38" s="128"/>
    </row>
    <row r="39" spans="2:10" ht="25.5">
      <c r="B39" s="97"/>
      <c r="C39" s="98" t="s">
        <v>182</v>
      </c>
      <c r="D39" s="98" t="s">
        <v>300</v>
      </c>
      <c r="E39" s="99">
        <f>44194-3000</f>
        <v>41194</v>
      </c>
      <c r="F39" s="100">
        <f>0.28*E39</f>
        <v>11534.320000000002</v>
      </c>
      <c r="G39" s="100">
        <f>SUM(E39:F39)</f>
        <v>52728.32</v>
      </c>
      <c r="H39" s="101"/>
      <c r="I39" s="100">
        <f>G39</f>
        <v>52728.32</v>
      </c>
      <c r="J39" s="102"/>
    </row>
    <row r="40" spans="2:10" ht="25.5">
      <c r="B40" s="97"/>
      <c r="C40" s="98" t="s">
        <v>301</v>
      </c>
      <c r="D40" s="98" t="s">
        <v>302</v>
      </c>
      <c r="E40" s="99">
        <v>45234</v>
      </c>
      <c r="F40" s="100">
        <f>0.28*E40</f>
        <v>12665.52</v>
      </c>
      <c r="G40" s="100">
        <f>SUM(E40:F40)</f>
        <v>57899.520000000004</v>
      </c>
      <c r="H40" s="101"/>
      <c r="I40" s="101"/>
      <c r="J40" s="105">
        <f>G40</f>
        <v>57899.520000000004</v>
      </c>
    </row>
    <row r="41" spans="2:10" ht="27.75" customHeight="1">
      <c r="B41" s="124"/>
      <c r="C41" s="98" t="s">
        <v>183</v>
      </c>
      <c r="D41" s="98" t="s">
        <v>299</v>
      </c>
      <c r="E41" s="99">
        <v>38242</v>
      </c>
      <c r="F41" s="100">
        <f>0.28*E41</f>
        <v>10707.76</v>
      </c>
      <c r="G41" s="100">
        <f>SUM(E41:F41)</f>
        <v>48949.76</v>
      </c>
      <c r="H41" s="101"/>
      <c r="I41" s="101"/>
      <c r="J41" s="105">
        <f>G41</f>
        <v>48949.76</v>
      </c>
    </row>
    <row r="42" spans="2:10" ht="27.75" customHeight="1">
      <c r="B42" s="124"/>
      <c r="C42" s="98" t="s">
        <v>184</v>
      </c>
      <c r="D42" s="98"/>
      <c r="E42" s="99"/>
      <c r="F42" s="100"/>
      <c r="G42" s="100"/>
      <c r="H42" s="101"/>
      <c r="I42" s="101">
        <v>15000</v>
      </c>
      <c r="J42" s="105"/>
    </row>
    <row r="43" spans="2:10" ht="27.75" customHeight="1">
      <c r="B43" s="124"/>
      <c r="C43" s="98" t="s">
        <v>185</v>
      </c>
      <c r="D43" s="98"/>
      <c r="E43" s="99"/>
      <c r="F43" s="100"/>
      <c r="G43" s="100"/>
      <c r="H43" s="101"/>
      <c r="I43" s="101">
        <v>25000</v>
      </c>
      <c r="J43" s="105"/>
    </row>
    <row r="44" spans="2:10" ht="27.75" customHeight="1">
      <c r="B44" s="124"/>
      <c r="C44" s="98" t="s">
        <v>186</v>
      </c>
      <c r="D44" s="98"/>
      <c r="E44" s="99">
        <v>3000</v>
      </c>
      <c r="F44" s="100">
        <f>0.1695*E44</f>
        <v>508.50000000000006</v>
      </c>
      <c r="G44" s="100">
        <f>SUM(E44:F44)</f>
        <v>3508.5</v>
      </c>
      <c r="H44" s="101"/>
      <c r="I44" s="101"/>
      <c r="J44" s="105">
        <f>SUM(G44)</f>
        <v>3508.5</v>
      </c>
    </row>
    <row r="45" spans="2:10" s="111" customFormat="1" ht="13.5" thickBot="1">
      <c r="B45" s="134">
        <v>1200</v>
      </c>
      <c r="C45" s="135" t="s">
        <v>162</v>
      </c>
      <c r="D45" s="136"/>
      <c r="E45" s="135"/>
      <c r="F45" s="135"/>
      <c r="G45" s="135"/>
      <c r="H45" s="135"/>
      <c r="I45" s="137">
        <f>SUM(I39:I44)</f>
        <v>92728.32</v>
      </c>
      <c r="J45" s="138">
        <f>SUM(J39:J44)</f>
        <v>110357.78</v>
      </c>
    </row>
    <row r="46" spans="9:10" ht="13.5" thickBot="1">
      <c r="I46" s="91"/>
      <c r="J46" s="90"/>
    </row>
    <row r="47" spans="2:10" ht="13.5" thickBot="1">
      <c r="B47" s="139">
        <v>1300</v>
      </c>
      <c r="C47" s="140"/>
      <c r="D47" s="141"/>
      <c r="E47" s="140"/>
      <c r="F47" s="140"/>
      <c r="G47" s="140"/>
      <c r="H47" s="140"/>
      <c r="I47" s="142">
        <v>0</v>
      </c>
      <c r="J47" s="143">
        <v>0</v>
      </c>
    </row>
    <row r="48" ht="13.5" thickBot="1"/>
    <row r="49" spans="2:10" ht="13.5" thickBot="1">
      <c r="B49" s="144">
        <v>1400</v>
      </c>
      <c r="C49" s="145" t="s">
        <v>189</v>
      </c>
      <c r="D49" s="146"/>
      <c r="E49" s="145"/>
      <c r="F49" s="145"/>
      <c r="G49" s="145"/>
      <c r="H49" s="145"/>
      <c r="I49" s="145"/>
      <c r="J49" s="147"/>
    </row>
    <row r="50" spans="2:10" ht="25.5">
      <c r="B50" s="93"/>
      <c r="C50" s="95" t="s">
        <v>190</v>
      </c>
      <c r="D50" s="95" t="s">
        <v>303</v>
      </c>
      <c r="E50" s="154">
        <f>40794</f>
        <v>40794</v>
      </c>
      <c r="F50" s="155">
        <f>0.28*E50</f>
        <v>11422.320000000002</v>
      </c>
      <c r="G50" s="155">
        <f aca="true" t="shared" si="5" ref="G50:G55">SUM(E50:F50)</f>
        <v>52216.32</v>
      </c>
      <c r="H50" s="94" t="s">
        <v>191</v>
      </c>
      <c r="I50" s="155">
        <f>0.5*G50</f>
        <v>26108.16</v>
      </c>
      <c r="J50" s="156">
        <f>0.5*G50</f>
        <v>26108.16</v>
      </c>
    </row>
    <row r="51" spans="2:10" ht="25.5">
      <c r="B51" s="97"/>
      <c r="C51" s="98" t="s">
        <v>304</v>
      </c>
      <c r="D51" s="98" t="s">
        <v>305</v>
      </c>
      <c r="E51" s="99">
        <v>20000</v>
      </c>
      <c r="F51" s="100">
        <f>0.28*E51</f>
        <v>5600.000000000001</v>
      </c>
      <c r="G51" s="100">
        <f t="shared" si="5"/>
        <v>25600</v>
      </c>
      <c r="H51" s="101"/>
      <c r="I51" s="100">
        <f>G51</f>
        <v>25600</v>
      </c>
      <c r="J51" s="102"/>
    </row>
    <row r="52" spans="2:10" ht="25.5">
      <c r="B52" s="97"/>
      <c r="C52" s="98" t="s">
        <v>306</v>
      </c>
      <c r="D52" s="98" t="s">
        <v>307</v>
      </c>
      <c r="E52" s="99">
        <f>43794-3000</f>
        <v>40794</v>
      </c>
      <c r="F52" s="100">
        <f>0.28*E52</f>
        <v>11422.320000000002</v>
      </c>
      <c r="G52" s="100">
        <f t="shared" si="5"/>
        <v>52216.32</v>
      </c>
      <c r="H52" s="101"/>
      <c r="I52" s="100">
        <f>G52</f>
        <v>52216.32</v>
      </c>
      <c r="J52" s="102"/>
    </row>
    <row r="53" spans="2:10" ht="12.75">
      <c r="B53" s="97"/>
      <c r="C53" s="98" t="s">
        <v>192</v>
      </c>
      <c r="D53" s="98" t="s">
        <v>308</v>
      </c>
      <c r="E53" s="99">
        <v>20500</v>
      </c>
      <c r="F53" s="100">
        <f>0.28*E53</f>
        <v>5740.000000000001</v>
      </c>
      <c r="G53" s="100">
        <f t="shared" si="5"/>
        <v>26240</v>
      </c>
      <c r="H53" s="101"/>
      <c r="I53" s="100">
        <f>G53</f>
        <v>26240</v>
      </c>
      <c r="J53" s="102"/>
    </row>
    <row r="54" spans="2:10" ht="12.75">
      <c r="B54" s="97"/>
      <c r="C54" s="103" t="s">
        <v>193</v>
      </c>
      <c r="D54" s="103" t="s">
        <v>309</v>
      </c>
      <c r="E54" s="104">
        <f>43794-3000</f>
        <v>40794</v>
      </c>
      <c r="F54" s="100">
        <f>0.1695*E54</f>
        <v>6914.5830000000005</v>
      </c>
      <c r="G54" s="100">
        <f t="shared" si="5"/>
        <v>47708.583</v>
      </c>
      <c r="H54" s="101"/>
      <c r="I54" s="100">
        <f>G54</f>
        <v>47708.583</v>
      </c>
      <c r="J54" s="105"/>
    </row>
    <row r="55" spans="2:10" ht="26.25" thickBot="1">
      <c r="B55" s="106"/>
      <c r="C55" s="118" t="s">
        <v>310</v>
      </c>
      <c r="D55" s="118"/>
      <c r="E55" s="119">
        <f>3000*3</f>
        <v>9000</v>
      </c>
      <c r="F55" s="109">
        <f>0.1695*E55</f>
        <v>1525.5</v>
      </c>
      <c r="G55" s="109">
        <f t="shared" si="5"/>
        <v>10525.5</v>
      </c>
      <c r="H55" s="107" t="s">
        <v>153</v>
      </c>
      <c r="I55" s="109"/>
      <c r="J55" s="110">
        <f>G55</f>
        <v>10525.5</v>
      </c>
    </row>
    <row r="56" spans="2:10" ht="13.5" thickBot="1">
      <c r="B56" s="148"/>
      <c r="C56" s="149" t="s">
        <v>162</v>
      </c>
      <c r="D56" s="149"/>
      <c r="E56" s="150"/>
      <c r="F56" s="151"/>
      <c r="G56" s="151"/>
      <c r="H56" s="152"/>
      <c r="I56" s="151">
        <f>SUM((I50:I55))</f>
        <v>177873.06300000002</v>
      </c>
      <c r="J56" s="153">
        <f>SUM((J50:J55))</f>
        <v>36633.66</v>
      </c>
    </row>
    <row r="57" ht="13.5" thickBot="1"/>
    <row r="58" spans="2:10" ht="13.5" thickBot="1">
      <c r="B58" s="162">
        <v>1500</v>
      </c>
      <c r="C58" s="163" t="s">
        <v>194</v>
      </c>
      <c r="D58" s="164"/>
      <c r="E58" s="163"/>
      <c r="F58" s="163"/>
      <c r="G58" s="163"/>
      <c r="H58" s="163"/>
      <c r="I58" s="163"/>
      <c r="J58" s="165"/>
    </row>
    <row r="59" spans="2:10" ht="12.75">
      <c r="B59" s="93"/>
      <c r="C59" s="94" t="s">
        <v>195</v>
      </c>
      <c r="D59" s="95"/>
      <c r="E59" s="94"/>
      <c r="F59" s="94"/>
      <c r="G59" s="94"/>
      <c r="H59" s="94" t="s">
        <v>153</v>
      </c>
      <c r="I59" s="94"/>
      <c r="J59" s="161">
        <v>42500</v>
      </c>
    </row>
    <row r="60" spans="2:10" ht="13.5" thickBot="1">
      <c r="B60" s="106"/>
      <c r="C60" s="107" t="s">
        <v>196</v>
      </c>
      <c r="D60" s="108"/>
      <c r="E60" s="107"/>
      <c r="F60" s="107"/>
      <c r="G60" s="107"/>
      <c r="H60" s="107" t="s">
        <v>197</v>
      </c>
      <c r="I60" s="107"/>
      <c r="J60" s="121">
        <v>7500</v>
      </c>
    </row>
    <row r="61" spans="2:10" ht="13.5" thickBot="1">
      <c r="B61" s="166"/>
      <c r="C61" s="167" t="s">
        <v>162</v>
      </c>
      <c r="D61" s="168"/>
      <c r="E61" s="167"/>
      <c r="F61" s="167"/>
      <c r="G61" s="167"/>
      <c r="H61" s="167"/>
      <c r="I61" s="169">
        <f>SUM(I59:I60)</f>
        <v>0</v>
      </c>
      <c r="J61" s="170">
        <f>SUM(J59:J60)</f>
        <v>50000</v>
      </c>
    </row>
    <row r="62" ht="13.5" thickBot="1">
      <c r="J62" s="91"/>
    </row>
    <row r="63" spans="2:10" ht="13.5" thickBot="1">
      <c r="B63" s="139">
        <v>1600</v>
      </c>
      <c r="C63" s="140" t="s">
        <v>162</v>
      </c>
      <c r="D63" s="141"/>
      <c r="E63" s="140"/>
      <c r="F63" s="140"/>
      <c r="G63" s="140"/>
      <c r="H63" s="140"/>
      <c r="I63" s="140"/>
      <c r="J63" s="143">
        <v>0</v>
      </c>
    </row>
    <row r="64" ht="13.5" thickBot="1"/>
    <row r="65" spans="2:10" ht="13.5" thickBot="1">
      <c r="B65" s="139">
        <v>2100</v>
      </c>
      <c r="C65" s="140" t="s">
        <v>198</v>
      </c>
      <c r="D65" s="141"/>
      <c r="E65" s="140"/>
      <c r="F65" s="140"/>
      <c r="G65" s="140"/>
      <c r="H65" s="140"/>
      <c r="I65" s="140"/>
      <c r="J65" s="182"/>
    </row>
    <row r="66" spans="2:10" ht="25.5">
      <c r="B66" s="175"/>
      <c r="C66" s="176" t="s">
        <v>199</v>
      </c>
      <c r="D66" s="176" t="s">
        <v>317</v>
      </c>
      <c r="E66" s="177">
        <v>22665</v>
      </c>
      <c r="F66" s="178">
        <f aca="true" t="shared" si="6" ref="F66:F72">0.28*E66</f>
        <v>6346.200000000001</v>
      </c>
      <c r="G66" s="178">
        <f>SUM(E66:F66)</f>
        <v>29011.2</v>
      </c>
      <c r="H66" s="179"/>
      <c r="I66" s="178">
        <f>G66</f>
        <v>29011.2</v>
      </c>
      <c r="J66" s="180"/>
    </row>
    <row r="67" spans="2:10" ht="25.5">
      <c r="B67" s="97"/>
      <c r="C67" s="98" t="s">
        <v>200</v>
      </c>
      <c r="D67" s="98" t="s">
        <v>318</v>
      </c>
      <c r="E67" s="99">
        <v>30000</v>
      </c>
      <c r="F67" s="100">
        <f t="shared" si="6"/>
        <v>8400</v>
      </c>
      <c r="G67" s="100">
        <f aca="true" t="shared" si="7" ref="G67:G72">SUM(E67:F67)</f>
        <v>38400</v>
      </c>
      <c r="H67" s="101"/>
      <c r="I67" s="100">
        <f>G67</f>
        <v>38400</v>
      </c>
      <c r="J67" s="102"/>
    </row>
    <row r="68" spans="2:10" ht="25.5">
      <c r="B68" s="97"/>
      <c r="C68" s="98" t="s">
        <v>201</v>
      </c>
      <c r="D68" s="98" t="s">
        <v>311</v>
      </c>
      <c r="E68" s="99">
        <v>53194</v>
      </c>
      <c r="F68" s="100">
        <f t="shared" si="6"/>
        <v>14894.320000000002</v>
      </c>
      <c r="G68" s="100">
        <f t="shared" si="7"/>
        <v>68088.32</v>
      </c>
      <c r="H68" s="101"/>
      <c r="I68" s="101"/>
      <c r="J68" s="105">
        <f>G68</f>
        <v>68088.32</v>
      </c>
    </row>
    <row r="69" spans="2:10" ht="25.5">
      <c r="B69" s="97"/>
      <c r="C69" s="98" t="s">
        <v>202</v>
      </c>
      <c r="D69" s="98" t="s">
        <v>312</v>
      </c>
      <c r="E69" s="99">
        <v>44714</v>
      </c>
      <c r="F69" s="100">
        <f t="shared" si="6"/>
        <v>12519.920000000002</v>
      </c>
      <c r="G69" s="100">
        <f t="shared" si="7"/>
        <v>57233.92</v>
      </c>
      <c r="H69" s="101" t="s">
        <v>314</v>
      </c>
      <c r="I69" s="101"/>
      <c r="J69" s="105">
        <f>G69</f>
        <v>57233.92</v>
      </c>
    </row>
    <row r="70" spans="2:10" ht="12.75">
      <c r="B70" s="97"/>
      <c r="C70" s="98" t="s">
        <v>203</v>
      </c>
      <c r="D70" s="98" t="s">
        <v>313</v>
      </c>
      <c r="E70" s="99">
        <f>46135/2</f>
        <v>23067.5</v>
      </c>
      <c r="F70" s="100">
        <f t="shared" si="6"/>
        <v>6458.900000000001</v>
      </c>
      <c r="G70" s="100">
        <f t="shared" si="7"/>
        <v>29526.4</v>
      </c>
      <c r="H70" s="101"/>
      <c r="I70" s="100">
        <f>G70</f>
        <v>29526.4</v>
      </c>
      <c r="J70" s="102"/>
    </row>
    <row r="71" spans="2:10" ht="12.75">
      <c r="B71" s="97"/>
      <c r="C71" s="101" t="s">
        <v>204</v>
      </c>
      <c r="D71" s="101" t="s">
        <v>205</v>
      </c>
      <c r="E71" s="99">
        <f>50000/4</f>
        <v>12500</v>
      </c>
      <c r="F71" s="100">
        <f t="shared" si="6"/>
        <v>3500.0000000000005</v>
      </c>
      <c r="G71" s="100">
        <f t="shared" si="7"/>
        <v>16000</v>
      </c>
      <c r="H71" s="101" t="s">
        <v>160</v>
      </c>
      <c r="I71" s="100"/>
      <c r="J71" s="105">
        <f>G71</f>
        <v>16000</v>
      </c>
    </row>
    <row r="72" spans="2:10" ht="12.75">
      <c r="B72" s="97"/>
      <c r="C72" s="101" t="s">
        <v>206</v>
      </c>
      <c r="D72" s="101" t="s">
        <v>207</v>
      </c>
      <c r="E72" s="99">
        <f>40000/3</f>
        <v>13333.333333333334</v>
      </c>
      <c r="F72" s="100">
        <f t="shared" si="6"/>
        <v>3733.333333333334</v>
      </c>
      <c r="G72" s="100">
        <f t="shared" si="7"/>
        <v>17066.666666666668</v>
      </c>
      <c r="H72" s="101" t="s">
        <v>153</v>
      </c>
      <c r="I72" s="100"/>
      <c r="J72" s="105">
        <f>G72</f>
        <v>17066.666666666668</v>
      </c>
    </row>
    <row r="73" spans="2:10" ht="12.75">
      <c r="B73" s="97"/>
      <c r="C73" s="101" t="s">
        <v>208</v>
      </c>
      <c r="D73" s="101" t="s">
        <v>209</v>
      </c>
      <c r="E73" s="99">
        <f>55000/4</f>
        <v>13750</v>
      </c>
      <c r="F73" s="100">
        <f>E73*0.28</f>
        <v>3850.0000000000005</v>
      </c>
      <c r="G73" s="100">
        <f>SUM(E73:F73)</f>
        <v>17600</v>
      </c>
      <c r="H73" s="101" t="s">
        <v>158</v>
      </c>
      <c r="I73" s="100"/>
      <c r="J73" s="105">
        <f>G73</f>
        <v>17600</v>
      </c>
    </row>
    <row r="74" spans="2:10" ht="13.5" thickBot="1">
      <c r="B74" s="112"/>
      <c r="C74" s="114" t="s">
        <v>316</v>
      </c>
      <c r="D74" s="114" t="s">
        <v>315</v>
      </c>
      <c r="E74" s="171">
        <v>24000</v>
      </c>
      <c r="F74" s="172">
        <f>0.28*E74</f>
        <v>6720.000000000001</v>
      </c>
      <c r="G74" s="172">
        <f>SUM(E74:F74)</f>
        <v>30720</v>
      </c>
      <c r="H74" s="113" t="s">
        <v>153</v>
      </c>
      <c r="I74" s="172"/>
      <c r="J74" s="173">
        <f>G74</f>
        <v>30720</v>
      </c>
    </row>
    <row r="75" spans="2:10" ht="13.5" thickBot="1">
      <c r="B75" s="139"/>
      <c r="C75" s="140" t="s">
        <v>162</v>
      </c>
      <c r="D75" s="141"/>
      <c r="E75" s="140"/>
      <c r="F75" s="140"/>
      <c r="G75" s="140"/>
      <c r="H75" s="140"/>
      <c r="I75" s="142">
        <f>SUM(I66:I74)</f>
        <v>96937.6</v>
      </c>
      <c r="J75" s="143">
        <f>SUM(J66:J74)</f>
        <v>206708.90666666665</v>
      </c>
    </row>
    <row r="76" ht="13.5" thickBot="1"/>
    <row r="77" spans="2:10" ht="13.5" thickBot="1">
      <c r="B77" s="139">
        <v>2200</v>
      </c>
      <c r="C77" s="140" t="s">
        <v>210</v>
      </c>
      <c r="D77" s="141"/>
      <c r="E77" s="140"/>
      <c r="F77" s="140"/>
      <c r="G77" s="140"/>
      <c r="H77" s="140"/>
      <c r="I77" s="140"/>
      <c r="J77" s="182"/>
    </row>
    <row r="78" spans="2:10" ht="25.5">
      <c r="B78" s="175"/>
      <c r="C78" s="176" t="s">
        <v>211</v>
      </c>
      <c r="D78" s="176" t="s">
        <v>319</v>
      </c>
      <c r="E78" s="177">
        <v>55634</v>
      </c>
      <c r="F78" s="178">
        <f aca="true" t="shared" si="8" ref="F78:F83">0.28*E78</f>
        <v>15577.520000000002</v>
      </c>
      <c r="G78" s="178">
        <f aca="true" t="shared" si="9" ref="G78:G83">SUM(E78:F78)</f>
        <v>71211.52</v>
      </c>
      <c r="H78" s="179" t="s">
        <v>153</v>
      </c>
      <c r="I78" s="177"/>
      <c r="J78" s="181">
        <f aca="true" t="shared" si="10" ref="J78:J83">G78</f>
        <v>71211.52</v>
      </c>
    </row>
    <row r="79" spans="2:10" ht="25.5">
      <c r="B79" s="97"/>
      <c r="C79" s="98" t="s">
        <v>212</v>
      </c>
      <c r="D79" s="98" t="s">
        <v>320</v>
      </c>
      <c r="E79" s="99">
        <v>57114</v>
      </c>
      <c r="F79" s="100">
        <f t="shared" si="8"/>
        <v>15991.920000000002</v>
      </c>
      <c r="G79" s="100">
        <f t="shared" si="9"/>
        <v>73105.92</v>
      </c>
      <c r="H79" s="101" t="s">
        <v>153</v>
      </c>
      <c r="I79" s="99"/>
      <c r="J79" s="120">
        <f t="shared" si="10"/>
        <v>73105.92</v>
      </c>
    </row>
    <row r="80" spans="2:10" ht="25.5">
      <c r="B80" s="97"/>
      <c r="C80" s="98" t="s">
        <v>213</v>
      </c>
      <c r="D80" s="98" t="s">
        <v>214</v>
      </c>
      <c r="E80" s="99">
        <v>20000</v>
      </c>
      <c r="F80" s="100">
        <f t="shared" si="8"/>
        <v>5600.000000000001</v>
      </c>
      <c r="G80" s="100">
        <f t="shared" si="9"/>
        <v>25600</v>
      </c>
      <c r="H80" s="101" t="s">
        <v>147</v>
      </c>
      <c r="I80" s="99"/>
      <c r="J80" s="120">
        <f t="shared" si="10"/>
        <v>25600</v>
      </c>
    </row>
    <row r="81" spans="2:10" ht="25.5">
      <c r="B81" s="97"/>
      <c r="C81" s="98" t="s">
        <v>215</v>
      </c>
      <c r="D81" s="98" t="s">
        <v>216</v>
      </c>
      <c r="E81" s="99">
        <v>11828.5</v>
      </c>
      <c r="F81" s="100">
        <f t="shared" si="8"/>
        <v>3311.9800000000005</v>
      </c>
      <c r="G81" s="100">
        <f t="shared" si="9"/>
        <v>15140.48</v>
      </c>
      <c r="H81" s="101" t="s">
        <v>147</v>
      </c>
      <c r="I81" s="99"/>
      <c r="J81" s="120">
        <f t="shared" si="10"/>
        <v>15140.48</v>
      </c>
    </row>
    <row r="82" spans="2:10" ht="12.75">
      <c r="B82" s="97"/>
      <c r="C82" s="101" t="s">
        <v>217</v>
      </c>
      <c r="D82" s="101" t="s">
        <v>218</v>
      </c>
      <c r="E82" s="99">
        <f>70000/4</f>
        <v>17500</v>
      </c>
      <c r="F82" s="100">
        <f t="shared" si="8"/>
        <v>4900.000000000001</v>
      </c>
      <c r="G82" s="100">
        <f t="shared" si="9"/>
        <v>22400</v>
      </c>
      <c r="H82" s="101" t="s">
        <v>153</v>
      </c>
      <c r="I82" s="99"/>
      <c r="J82" s="120">
        <f t="shared" si="10"/>
        <v>22400</v>
      </c>
    </row>
    <row r="83" spans="2:10" ht="13.5" thickBot="1">
      <c r="B83" s="112"/>
      <c r="C83" s="113" t="s">
        <v>219</v>
      </c>
      <c r="D83" s="113" t="s">
        <v>220</v>
      </c>
      <c r="E83" s="171">
        <f>65000/4</f>
        <v>16250</v>
      </c>
      <c r="F83" s="172">
        <f t="shared" si="8"/>
        <v>4550</v>
      </c>
      <c r="G83" s="172">
        <f t="shared" si="9"/>
        <v>20800</v>
      </c>
      <c r="H83" s="113" t="s">
        <v>153</v>
      </c>
      <c r="I83" s="171"/>
      <c r="J83" s="174">
        <f t="shared" si="10"/>
        <v>20800</v>
      </c>
    </row>
    <row r="84" spans="2:10" ht="13.5" thickBot="1">
      <c r="B84" s="139"/>
      <c r="C84" s="140" t="s">
        <v>162</v>
      </c>
      <c r="D84" s="141"/>
      <c r="E84" s="140"/>
      <c r="F84" s="140"/>
      <c r="G84" s="140"/>
      <c r="H84" s="140"/>
      <c r="I84" s="183">
        <f>SUM(I78:I83)</f>
        <v>0</v>
      </c>
      <c r="J84" s="143">
        <f>SUM(J78:J83)</f>
        <v>228257.92</v>
      </c>
    </row>
    <row r="85" ht="13.5" thickBot="1"/>
    <row r="86" spans="2:10" ht="13.5" thickBot="1">
      <c r="B86" s="139">
        <v>2300</v>
      </c>
      <c r="C86" s="140" t="s">
        <v>221</v>
      </c>
      <c r="D86" s="141"/>
      <c r="E86" s="140"/>
      <c r="F86" s="140"/>
      <c r="G86" s="140"/>
      <c r="H86" s="140"/>
      <c r="I86" s="140"/>
      <c r="J86" s="182"/>
    </row>
    <row r="87" spans="2:10" ht="25.5">
      <c r="B87" s="175"/>
      <c r="C87" s="179" t="s">
        <v>222</v>
      </c>
      <c r="D87" s="176" t="s">
        <v>223</v>
      </c>
      <c r="E87" s="177">
        <f>100000/4</f>
        <v>25000</v>
      </c>
      <c r="F87" s="178">
        <f aca="true" t="shared" si="11" ref="F87:F92">E87*0.28</f>
        <v>7000.000000000001</v>
      </c>
      <c r="G87" s="178">
        <f aca="true" t="shared" si="12" ref="G87:G92">SUM(E87:F87)</f>
        <v>32000</v>
      </c>
      <c r="H87" s="179"/>
      <c r="I87" s="178">
        <f>G87</f>
        <v>32000</v>
      </c>
      <c r="J87" s="180"/>
    </row>
    <row r="88" spans="2:10" ht="12.75">
      <c r="B88" s="97"/>
      <c r="C88" s="101" t="s">
        <v>224</v>
      </c>
      <c r="D88" s="98" t="s">
        <v>225</v>
      </c>
      <c r="E88" s="99">
        <f>50000/4</f>
        <v>12500</v>
      </c>
      <c r="F88" s="100">
        <f t="shared" si="11"/>
        <v>3500.0000000000005</v>
      </c>
      <c r="G88" s="100">
        <f t="shared" si="12"/>
        <v>16000</v>
      </c>
      <c r="H88" s="101"/>
      <c r="I88" s="100">
        <f>G88</f>
        <v>16000</v>
      </c>
      <c r="J88" s="102"/>
    </row>
    <row r="89" spans="2:10" ht="25.5">
      <c r="B89" s="97"/>
      <c r="C89" s="101" t="s">
        <v>226</v>
      </c>
      <c r="D89" s="98" t="s">
        <v>227</v>
      </c>
      <c r="E89" s="99">
        <f>53000/4</f>
        <v>13250</v>
      </c>
      <c r="F89" s="100">
        <f t="shared" si="11"/>
        <v>3710.0000000000005</v>
      </c>
      <c r="G89" s="100">
        <f t="shared" si="12"/>
        <v>16960</v>
      </c>
      <c r="H89" s="101"/>
      <c r="I89" s="100">
        <f>G89</f>
        <v>16960</v>
      </c>
      <c r="J89" s="102"/>
    </row>
    <row r="90" spans="2:10" ht="12.75">
      <c r="B90" s="97"/>
      <c r="C90" s="101" t="s">
        <v>228</v>
      </c>
      <c r="D90" s="98" t="s">
        <v>229</v>
      </c>
      <c r="E90" s="99">
        <f>55000/4</f>
        <v>13750</v>
      </c>
      <c r="F90" s="100">
        <f t="shared" si="11"/>
        <v>3850.0000000000005</v>
      </c>
      <c r="G90" s="100">
        <f t="shared" si="12"/>
        <v>17600</v>
      </c>
      <c r="H90" s="101"/>
      <c r="I90" s="100">
        <f>G90</f>
        <v>17600</v>
      </c>
      <c r="J90" s="102"/>
    </row>
    <row r="91" spans="2:10" ht="25.5">
      <c r="B91" s="97"/>
      <c r="C91" s="101" t="s">
        <v>230</v>
      </c>
      <c r="D91" s="98" t="s">
        <v>231</v>
      </c>
      <c r="E91" s="99">
        <f>75000/4</f>
        <v>18750</v>
      </c>
      <c r="F91" s="100">
        <f t="shared" si="11"/>
        <v>5250.000000000001</v>
      </c>
      <c r="G91" s="100">
        <f t="shared" si="12"/>
        <v>24000</v>
      </c>
      <c r="H91" s="101" t="s">
        <v>153</v>
      </c>
      <c r="I91" s="101"/>
      <c r="J91" s="105">
        <f>G91</f>
        <v>24000</v>
      </c>
    </row>
    <row r="92" spans="2:10" ht="26.25" thickBot="1">
      <c r="B92" s="112"/>
      <c r="C92" s="113" t="s">
        <v>232</v>
      </c>
      <c r="D92" s="114" t="s">
        <v>233</v>
      </c>
      <c r="E92" s="171">
        <f>40000/4</f>
        <v>10000</v>
      </c>
      <c r="F92" s="172">
        <f t="shared" si="11"/>
        <v>2800.0000000000005</v>
      </c>
      <c r="G92" s="172">
        <f t="shared" si="12"/>
        <v>12800</v>
      </c>
      <c r="H92" s="113"/>
      <c r="I92" s="172">
        <f>G92</f>
        <v>12800</v>
      </c>
      <c r="J92" s="115"/>
    </row>
    <row r="93" spans="2:10" ht="13.5" thickBot="1">
      <c r="B93" s="139"/>
      <c r="C93" s="140"/>
      <c r="D93" s="141"/>
      <c r="E93" s="140"/>
      <c r="F93" s="140"/>
      <c r="G93" s="142">
        <f>SUM(G87:G92)</f>
        <v>119360</v>
      </c>
      <c r="H93" s="140"/>
      <c r="I93" s="142">
        <f>SUM(I87:I92)</f>
        <v>95360</v>
      </c>
      <c r="J93" s="184">
        <f>SUM(J87:J92)</f>
        <v>24000</v>
      </c>
    </row>
    <row r="94" ht="12.75">
      <c r="J94" s="90"/>
    </row>
    <row r="95" ht="13.5" thickBot="1"/>
    <row r="96" spans="2:10" ht="13.5" thickBot="1">
      <c r="B96" s="139">
        <v>2400</v>
      </c>
      <c r="C96" s="140" t="s">
        <v>234</v>
      </c>
      <c r="D96" s="141"/>
      <c r="E96" s="140"/>
      <c r="F96" s="140"/>
      <c r="G96" s="140"/>
      <c r="H96" s="140"/>
      <c r="I96" s="140"/>
      <c r="J96" s="182"/>
    </row>
    <row r="97" spans="2:10" ht="12.75">
      <c r="B97" s="175"/>
      <c r="C97" s="176" t="s">
        <v>235</v>
      </c>
      <c r="D97" s="176" t="s">
        <v>322</v>
      </c>
      <c r="E97" s="177">
        <v>86019</v>
      </c>
      <c r="F97" s="178">
        <f>0.28*E97</f>
        <v>24085.320000000003</v>
      </c>
      <c r="G97" s="178">
        <f>SUM(E97:F97)</f>
        <v>110104.32</v>
      </c>
      <c r="H97" s="179"/>
      <c r="I97" s="178">
        <f>G97</f>
        <v>110104.32</v>
      </c>
      <c r="J97" s="181"/>
    </row>
    <row r="98" spans="2:10" ht="12.75">
      <c r="B98" s="97"/>
      <c r="C98" s="98" t="s">
        <v>321</v>
      </c>
      <c r="D98" s="98" t="s">
        <v>323</v>
      </c>
      <c r="E98" s="99">
        <v>73019</v>
      </c>
      <c r="F98" s="100">
        <f>0.28*E98</f>
        <v>20445.320000000003</v>
      </c>
      <c r="G98" s="100">
        <f>SUM(E98:F98)</f>
        <v>93464.32</v>
      </c>
      <c r="H98" s="101"/>
      <c r="I98" s="100">
        <f>G98</f>
        <v>93464.32</v>
      </c>
      <c r="J98" s="120"/>
    </row>
    <row r="99" spans="2:10" ht="13.5" thickBot="1">
      <c r="B99" s="106"/>
      <c r="C99" s="107" t="s">
        <v>162</v>
      </c>
      <c r="D99" s="108"/>
      <c r="E99" s="107"/>
      <c r="F99" s="107"/>
      <c r="G99" s="107"/>
      <c r="H99" s="107"/>
      <c r="I99" s="109">
        <f>SUM(I97:I98)</f>
        <v>203568.64</v>
      </c>
      <c r="J99" s="110">
        <f>SUM(J97:J98)</f>
        <v>0</v>
      </c>
    </row>
    <row r="100" ht="13.5" thickBot="1"/>
    <row r="101" spans="2:10" ht="12.75">
      <c r="B101" s="93">
        <v>2500</v>
      </c>
      <c r="C101" s="94" t="s">
        <v>236</v>
      </c>
      <c r="D101" s="95"/>
      <c r="E101" s="94"/>
      <c r="F101" s="94"/>
      <c r="G101" s="94"/>
      <c r="H101" s="94"/>
      <c r="I101" s="94"/>
      <c r="J101" s="96"/>
    </row>
    <row r="102" spans="2:10" ht="12.75">
      <c r="B102" s="97"/>
      <c r="C102" s="101" t="s">
        <v>237</v>
      </c>
      <c r="D102" s="101" t="s">
        <v>238</v>
      </c>
      <c r="E102" s="99">
        <v>77500</v>
      </c>
      <c r="F102" s="100">
        <f>0.28*E102</f>
        <v>21700.000000000004</v>
      </c>
      <c r="G102" s="100">
        <f>SUM(E102:F102)</f>
        <v>99200</v>
      </c>
      <c r="H102" s="101"/>
      <c r="I102" s="100">
        <f>G102</f>
        <v>99200</v>
      </c>
      <c r="J102" s="102"/>
    </row>
    <row r="103" spans="2:10" ht="13.5" thickBot="1">
      <c r="B103" s="112"/>
      <c r="C103" s="113" t="s">
        <v>239</v>
      </c>
      <c r="D103" s="113" t="s">
        <v>240</v>
      </c>
      <c r="E103" s="171">
        <v>45000</v>
      </c>
      <c r="F103" s="172">
        <f>0.28*E103</f>
        <v>12600.000000000002</v>
      </c>
      <c r="G103" s="172">
        <f>SUM(E103:F103)</f>
        <v>57600</v>
      </c>
      <c r="H103" s="113"/>
      <c r="I103" s="172">
        <f>G103</f>
        <v>57600</v>
      </c>
      <c r="J103" s="115"/>
    </row>
    <row r="104" spans="2:10" ht="13.5" thickBot="1">
      <c r="B104" s="139"/>
      <c r="C104" s="140"/>
      <c r="D104" s="141"/>
      <c r="E104" s="140"/>
      <c r="F104" s="140"/>
      <c r="G104" s="142">
        <f>SUM(G102:G103)</f>
        <v>156800</v>
      </c>
      <c r="H104" s="140"/>
      <c r="I104" s="142">
        <f>SUM(I102:I103)</f>
        <v>156800</v>
      </c>
      <c r="J104" s="184">
        <f>SUM(J102:J103)</f>
        <v>0</v>
      </c>
    </row>
    <row r="105" spans="2:10" ht="13.5" thickBot="1">
      <c r="B105" s="116"/>
      <c r="C105" s="116"/>
      <c r="D105" s="117"/>
      <c r="E105" s="116"/>
      <c r="F105" s="116"/>
      <c r="G105" s="122"/>
      <c r="H105" s="116"/>
      <c r="I105" s="122"/>
      <c r="J105" s="122"/>
    </row>
    <row r="106" spans="2:10" ht="13.5" thickBot="1">
      <c r="B106" s="139">
        <v>2600</v>
      </c>
      <c r="C106" s="140" t="s">
        <v>75</v>
      </c>
      <c r="D106" s="141"/>
      <c r="E106" s="140"/>
      <c r="F106" s="140"/>
      <c r="G106" s="140"/>
      <c r="H106" s="140"/>
      <c r="I106" s="140"/>
      <c r="J106" s="182"/>
    </row>
    <row r="107" spans="2:12" ht="12.75">
      <c r="B107" s="175"/>
      <c r="C107" s="179" t="s">
        <v>241</v>
      </c>
      <c r="D107" s="176"/>
      <c r="E107" s="179"/>
      <c r="F107" s="179"/>
      <c r="G107" s="179"/>
      <c r="H107" s="179"/>
      <c r="I107" s="177">
        <f>5202.45*12</f>
        <v>62429.399999999994</v>
      </c>
      <c r="J107" s="180"/>
      <c r="L107" s="88" t="s">
        <v>242</v>
      </c>
    </row>
    <row r="108" spans="2:12" ht="12.75">
      <c r="B108" s="97"/>
      <c r="C108" s="101" t="s">
        <v>243</v>
      </c>
      <c r="D108" s="98"/>
      <c r="E108" s="101"/>
      <c r="F108" s="101"/>
      <c r="G108" s="101"/>
      <c r="H108" s="101"/>
      <c r="I108" s="99">
        <v>30000</v>
      </c>
      <c r="J108" s="102"/>
      <c r="L108" s="88" t="s">
        <v>244</v>
      </c>
    </row>
    <row r="109" spans="2:10" ht="12.75">
      <c r="B109" s="97"/>
      <c r="C109" s="101" t="s">
        <v>245</v>
      </c>
      <c r="D109" s="98"/>
      <c r="E109" s="101"/>
      <c r="F109" s="101"/>
      <c r="G109" s="101"/>
      <c r="H109" s="101"/>
      <c r="I109" s="99">
        <f>170*12</f>
        <v>2040</v>
      </c>
      <c r="J109" s="102"/>
    </row>
    <row r="110" spans="2:10" ht="12.75">
      <c r="B110" s="97"/>
      <c r="C110" s="101" t="s">
        <v>246</v>
      </c>
      <c r="D110" s="98"/>
      <c r="E110" s="101"/>
      <c r="F110" s="101"/>
      <c r="G110" s="101"/>
      <c r="H110" s="101"/>
      <c r="I110" s="99">
        <f>350*12</f>
        <v>4200</v>
      </c>
      <c r="J110" s="102"/>
    </row>
    <row r="111" spans="2:10" ht="12.75">
      <c r="B111" s="97"/>
      <c r="C111" s="101" t="s">
        <v>247</v>
      </c>
      <c r="D111" s="98"/>
      <c r="E111" s="101"/>
      <c r="F111" s="101"/>
      <c r="G111" s="101"/>
      <c r="H111" s="101"/>
      <c r="I111" s="99">
        <f>6000*12</f>
        <v>72000</v>
      </c>
      <c r="J111" s="102"/>
    </row>
    <row r="112" spans="2:10" ht="12.75">
      <c r="B112" s="97"/>
      <c r="C112" s="101" t="s">
        <v>248</v>
      </c>
      <c r="D112" s="98"/>
      <c r="E112" s="101"/>
      <c r="F112" s="101"/>
      <c r="G112" s="101"/>
      <c r="H112" s="101"/>
      <c r="I112" s="99">
        <v>0</v>
      </c>
      <c r="J112" s="102"/>
    </row>
    <row r="113" spans="2:12" ht="12.75">
      <c r="B113" s="97"/>
      <c r="C113" s="101" t="s">
        <v>249</v>
      </c>
      <c r="D113" s="98"/>
      <c r="E113" s="101"/>
      <c r="F113" s="101"/>
      <c r="G113" s="101"/>
      <c r="H113" s="101"/>
      <c r="I113" s="99">
        <f>800*12</f>
        <v>9600</v>
      </c>
      <c r="J113" s="102"/>
      <c r="L113" s="88" t="s">
        <v>326</v>
      </c>
    </row>
    <row r="114" spans="2:10" ht="12.75">
      <c r="B114" s="97"/>
      <c r="C114" s="101" t="s">
        <v>250</v>
      </c>
      <c r="D114" s="98"/>
      <c r="E114" s="101"/>
      <c r="F114" s="101"/>
      <c r="G114" s="101"/>
      <c r="H114" s="101"/>
      <c r="I114" s="99">
        <v>5000</v>
      </c>
      <c r="J114" s="102"/>
    </row>
    <row r="115" spans="2:10" ht="12.75">
      <c r="B115" s="97"/>
      <c r="C115" s="101" t="s">
        <v>251</v>
      </c>
      <c r="D115" s="98"/>
      <c r="E115" s="101"/>
      <c r="F115" s="101"/>
      <c r="G115" s="101"/>
      <c r="H115" s="101"/>
      <c r="I115" s="99">
        <v>5000</v>
      </c>
      <c r="J115" s="102"/>
    </row>
    <row r="116" spans="2:10" ht="12.75">
      <c r="B116" s="97"/>
      <c r="C116" s="101" t="s">
        <v>252</v>
      </c>
      <c r="D116" s="98"/>
      <c r="E116" s="101"/>
      <c r="F116" s="101"/>
      <c r="G116" s="101"/>
      <c r="H116" s="101"/>
      <c r="I116" s="99"/>
      <c r="J116" s="102"/>
    </row>
    <row r="117" spans="2:10" ht="12.75">
      <c r="B117" s="97"/>
      <c r="C117" s="101" t="s">
        <v>253</v>
      </c>
      <c r="D117" s="98"/>
      <c r="E117" s="101"/>
      <c r="F117" s="101"/>
      <c r="G117" s="101"/>
      <c r="H117" s="101"/>
      <c r="I117" s="99">
        <f>600*12</f>
        <v>7200</v>
      </c>
      <c r="J117" s="102"/>
    </row>
    <row r="118" spans="2:10" ht="12.75">
      <c r="B118" s="97"/>
      <c r="C118" s="101" t="s">
        <v>254</v>
      </c>
      <c r="D118" s="98"/>
      <c r="E118" s="101"/>
      <c r="F118" s="101"/>
      <c r="G118" s="101"/>
      <c r="H118" s="101"/>
      <c r="I118" s="99">
        <f>280*12</f>
        <v>3360</v>
      </c>
      <c r="J118" s="102"/>
    </row>
    <row r="119" spans="2:10" ht="12.75">
      <c r="B119" s="97"/>
      <c r="C119" s="101" t="s">
        <v>255</v>
      </c>
      <c r="D119" s="98"/>
      <c r="E119" s="101"/>
      <c r="F119" s="101"/>
      <c r="G119" s="101"/>
      <c r="H119" s="101"/>
      <c r="I119" s="99">
        <v>30000</v>
      </c>
      <c r="J119" s="102"/>
    </row>
    <row r="120" spans="2:10" ht="13.5" thickBot="1">
      <c r="B120" s="112"/>
      <c r="C120" s="113" t="s">
        <v>256</v>
      </c>
      <c r="D120" s="114"/>
      <c r="E120" s="113"/>
      <c r="F120" s="113"/>
      <c r="G120" s="113"/>
      <c r="H120" s="113"/>
      <c r="I120" s="113">
        <v>100000</v>
      </c>
      <c r="J120" s="115"/>
    </row>
    <row r="121" spans="2:10" ht="13.5" thickBot="1">
      <c r="B121" s="139"/>
      <c r="C121" s="140" t="s">
        <v>162</v>
      </c>
      <c r="D121" s="141"/>
      <c r="E121" s="140"/>
      <c r="F121" s="140"/>
      <c r="G121" s="140"/>
      <c r="H121" s="140"/>
      <c r="I121" s="142">
        <f>SUM(I107:I120)</f>
        <v>330829.4</v>
      </c>
      <c r="J121" s="182"/>
    </row>
    <row r="122" ht="13.5" thickBot="1"/>
    <row r="123" spans="2:10" ht="13.5" thickBot="1">
      <c r="B123" s="139">
        <v>2700</v>
      </c>
      <c r="C123" s="140" t="s">
        <v>78</v>
      </c>
      <c r="D123" s="141"/>
      <c r="E123" s="140"/>
      <c r="F123" s="140"/>
      <c r="G123" s="140"/>
      <c r="H123" s="140"/>
      <c r="I123" s="140"/>
      <c r="J123" s="182"/>
    </row>
    <row r="124" spans="2:12" ht="13.5" thickBot="1">
      <c r="B124" s="157"/>
      <c r="C124" s="158" t="s">
        <v>257</v>
      </c>
      <c r="D124" s="159"/>
      <c r="E124" s="158"/>
      <c r="F124" s="158"/>
      <c r="G124" s="158"/>
      <c r="H124" s="158"/>
      <c r="I124" s="160">
        <f>(95*11)*175</f>
        <v>182875</v>
      </c>
      <c r="J124" s="185"/>
      <c r="L124" s="88" t="s">
        <v>258</v>
      </c>
    </row>
    <row r="125" spans="2:10" ht="12.75">
      <c r="B125" s="125"/>
      <c r="C125" s="126" t="s">
        <v>162</v>
      </c>
      <c r="D125" s="127"/>
      <c r="E125" s="126"/>
      <c r="F125" s="126"/>
      <c r="G125" s="126"/>
      <c r="H125" s="126"/>
      <c r="I125" s="186">
        <f>I124</f>
        <v>182875</v>
      </c>
      <c r="J125" s="128"/>
    </row>
    <row r="126" spans="2:10" s="116" customFormat="1" ht="13.5" thickBot="1">
      <c r="B126" s="187"/>
      <c r="C126" s="187"/>
      <c r="D126" s="188"/>
      <c r="E126" s="187"/>
      <c r="F126" s="187"/>
      <c r="G126" s="187"/>
      <c r="H126" s="187"/>
      <c r="I126" s="187"/>
      <c r="J126" s="187"/>
    </row>
    <row r="127" spans="2:10" ht="13.5" thickBot="1">
      <c r="B127" s="139">
        <v>2800</v>
      </c>
      <c r="C127" s="140" t="s">
        <v>81</v>
      </c>
      <c r="D127" s="141"/>
      <c r="E127" s="140"/>
      <c r="F127" s="140"/>
      <c r="G127" s="140"/>
      <c r="H127" s="140"/>
      <c r="I127" s="140"/>
      <c r="J127" s="182"/>
    </row>
    <row r="128" spans="2:10" ht="12.75">
      <c r="B128" s="175"/>
      <c r="C128" s="179" t="s">
        <v>259</v>
      </c>
      <c r="D128" s="176"/>
      <c r="E128" s="179"/>
      <c r="F128" s="179"/>
      <c r="G128" s="179"/>
      <c r="H128" s="179"/>
      <c r="I128" s="177">
        <v>30000</v>
      </c>
      <c r="J128" s="180"/>
    </row>
    <row r="129" spans="2:10" ht="12.75">
      <c r="B129" s="97"/>
      <c r="C129" s="101" t="s">
        <v>260</v>
      </c>
      <c r="D129" s="98"/>
      <c r="E129" s="101"/>
      <c r="F129" s="101"/>
      <c r="G129" s="101"/>
      <c r="H129" s="101"/>
      <c r="I129" s="123">
        <f>0.02*'Budget Submitted'!$H$15</f>
        <v>59500</v>
      </c>
      <c r="J129" s="102"/>
    </row>
    <row r="130" spans="2:10" ht="12.75">
      <c r="B130" s="97"/>
      <c r="C130" s="101" t="s">
        <v>261</v>
      </c>
      <c r="D130" s="98"/>
      <c r="E130" s="101"/>
      <c r="F130" s="101"/>
      <c r="G130" s="101"/>
      <c r="H130" s="101"/>
      <c r="I130" s="123">
        <f>0.08*'Budget Submitted'!$H$15</f>
        <v>238000</v>
      </c>
      <c r="J130" s="102"/>
    </row>
    <row r="131" spans="2:10" ht="13.5" thickBot="1">
      <c r="B131" s="112"/>
      <c r="C131" s="113" t="s">
        <v>262</v>
      </c>
      <c r="D131" s="114"/>
      <c r="E131" s="113"/>
      <c r="F131" s="113"/>
      <c r="G131" s="113"/>
      <c r="H131" s="113"/>
      <c r="I131" s="189">
        <v>10000</v>
      </c>
      <c r="J131" s="115"/>
    </row>
    <row r="132" spans="2:10" ht="13.5" thickBot="1">
      <c r="B132" s="139"/>
      <c r="C132" s="140" t="s">
        <v>162</v>
      </c>
      <c r="D132" s="141"/>
      <c r="E132" s="140"/>
      <c r="F132" s="140"/>
      <c r="G132" s="140"/>
      <c r="H132" s="140"/>
      <c r="I132" s="142">
        <f>SUM(I128:I131)</f>
        <v>337500</v>
      </c>
      <c r="J132" s="182"/>
    </row>
    <row r="133" ht="13.5" thickBot="1"/>
    <row r="134" spans="2:10" ht="13.5" thickBot="1">
      <c r="B134" s="139">
        <v>3100</v>
      </c>
      <c r="C134" s="140" t="s">
        <v>87</v>
      </c>
      <c r="D134" s="141"/>
      <c r="E134" s="140"/>
      <c r="F134" s="140"/>
      <c r="G134" s="140"/>
      <c r="H134" s="140"/>
      <c r="I134" s="140"/>
      <c r="J134" s="182"/>
    </row>
    <row r="135" spans="2:10" ht="29.25" customHeight="1">
      <c r="B135" s="175"/>
      <c r="C135" s="176" t="s">
        <v>263</v>
      </c>
      <c r="D135" s="176" t="s">
        <v>264</v>
      </c>
      <c r="E135" s="177">
        <v>11412.5</v>
      </c>
      <c r="F135" s="178">
        <f>0.28*E135</f>
        <v>3195.5000000000005</v>
      </c>
      <c r="G135" s="178">
        <f>SUM(E135:F135)</f>
        <v>14608</v>
      </c>
      <c r="H135" s="179"/>
      <c r="I135" s="178">
        <f>G135</f>
        <v>14608</v>
      </c>
      <c r="J135" s="181">
        <v>0</v>
      </c>
    </row>
    <row r="136" spans="2:12" ht="13.5" thickBot="1">
      <c r="B136" s="112"/>
      <c r="C136" s="113" t="s">
        <v>265</v>
      </c>
      <c r="D136" s="114"/>
      <c r="E136" s="113"/>
      <c r="F136" s="113"/>
      <c r="G136" s="113"/>
      <c r="H136" s="113"/>
      <c r="I136" s="171">
        <f>1850*175</f>
        <v>323750</v>
      </c>
      <c r="J136" s="115"/>
      <c r="L136" s="88" t="s">
        <v>324</v>
      </c>
    </row>
    <row r="137" spans="2:10" ht="13.5" thickBot="1">
      <c r="B137" s="139"/>
      <c r="C137" s="140" t="s">
        <v>162</v>
      </c>
      <c r="D137" s="141"/>
      <c r="E137" s="140"/>
      <c r="F137" s="140"/>
      <c r="G137" s="140"/>
      <c r="H137" s="140"/>
      <c r="I137" s="142">
        <f>SUM(I135:I136)</f>
        <v>338358</v>
      </c>
      <c r="J137" s="184">
        <f>SUM(J135:J136)</f>
        <v>0</v>
      </c>
    </row>
  </sheetData>
  <sheetProtection/>
  <printOptions/>
  <pageMargins left="0.7" right="0.7" top="0.75" bottom="0.75" header="0.3" footer="0.3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 </cp:lastModifiedBy>
  <cp:lastPrinted>2012-05-14T17:36:32Z</cp:lastPrinted>
  <dcterms:created xsi:type="dcterms:W3CDTF">2001-08-10T20:35:30Z</dcterms:created>
  <dcterms:modified xsi:type="dcterms:W3CDTF">2012-05-17T22:35:56Z</dcterms:modified>
  <cp:category/>
  <cp:version/>
  <cp:contentType/>
  <cp:contentStatus/>
</cp:coreProperties>
</file>